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3"/>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523" documentId="8_{970D30EE-A5D6-4825-901E-01CD35E7041B}" xr6:coauthVersionLast="47" xr6:coauthVersionMax="47" xr10:uidLastSave="{2561F2DE-FB77-42CE-8CD3-C0F93D2215CE}"/>
  <bookViews>
    <workbookView xWindow="-28920" yWindow="-120" windowWidth="29040" windowHeight="15720" firstSheet="3" activeTab="3"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4" l="1"/>
  <c r="AJ95" i="3"/>
  <c r="AJ1263" i="1"/>
  <c r="AJ1264" i="1"/>
  <c r="AR1200" i="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F563" i="1" s="1"/>
  <c r="AG552" i="1"/>
  <c r="AF552" i="1" s="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1" i="3"/>
  <c r="AM363" i="3" s="1"/>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5" i="1"/>
  <c r="AS1268" i="1" s="1"/>
  <c r="AS1263" i="1"/>
  <c r="AS1320" i="1"/>
  <c r="AS1319" i="1"/>
  <c r="AS1318" i="1"/>
  <c r="AS1317" i="1"/>
  <c r="AS1316" i="1"/>
  <c r="AS1321" i="1" s="1"/>
  <c r="AS1270" i="1"/>
  <c r="AR1258" i="1"/>
  <c r="AS1271" i="1"/>
  <c r="AS1258" i="1"/>
  <c r="AR1313" i="1"/>
  <c r="AS1324" i="1"/>
  <c r="AP1265" i="1"/>
  <c r="AP1268" i="1" s="1"/>
  <c r="AP1263"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5" i="3"/>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5" i="1"/>
  <c r="AM1268" i="1" s="1"/>
  <c r="AM1263"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AA120" i="5" s="1"/>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346" i="3"/>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G366"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1" i="3" s="1"/>
  <c r="AW363" i="3" s="1"/>
  <c r="AW366" i="3" s="1"/>
  <c r="L34" i="4" l="1"/>
  <c r="Z637" i="1"/>
  <c r="AU640" i="1" s="1"/>
  <c r="Z1257" i="1"/>
  <c r="AA1270" i="1"/>
  <c r="AA1272" i="1" s="1"/>
  <c r="AD1267" i="1"/>
  <c r="AD1269" i="1" s="1"/>
  <c r="AD1272" i="1" s="1"/>
  <c r="AJ1267" i="1"/>
  <c r="AJ1269" i="1" s="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tc={61B4E3C2-9D20-41B0-BFDD-9322166D7EA5}</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G169" authorId="1" shapeId="0" xr:uid="{61B4E3C2-9D20-41B0-BFDD-9322166D7EA5}">
      <text>
        <t>[Threaded comment]
Your version of Excel allows you to read this threaded comment; however, any edits to it will get removed if the file is opened in a newer version of Excel. Learn more: https://go.microsoft.com/fwlink/?linkid=870924
Comment:
    Never authorized</t>
      </text>
    </comment>
    <comment ref="AA201" authorId="2"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3" shapeId="0" xr:uid="{AED05341-7648-47EE-AEA6-DBB62117A42B}">
      <text>
        <r>
          <rPr>
            <sz val="11"/>
            <color theme="1"/>
            <rFont val="Calibri"/>
            <family val="2"/>
            <scheme val="minor"/>
          </rPr>
          <t>Brady Hill:
Only $390,755 is TA and $1,262,685 is CRRSAA</t>
        </r>
      </text>
    </comment>
    <comment ref="AW335" authorId="4"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5"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5"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6"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3"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Brady Hill</author>
    <author>tc={BF35D221-EDFC-4705-8AB8-5174C2AC7EB9}</author>
  </authors>
  <commentList>
    <comment ref="L23" authorId="0" shapeId="0" xr:uid="{0B6671E0-DBA2-42C3-9D72-3AD56DC4A3B1}">
      <text>
        <r>
          <rPr>
            <sz val="11"/>
            <color theme="1"/>
            <rFont val="Calibri"/>
            <family val="2"/>
            <scheme val="minor"/>
          </rPr>
          <t xml:space="preserve">Brady Hill:
Keeping this project funding here until next CFP in case it is needed </t>
        </r>
      </text>
    </comment>
    <comment ref="M23" authorId="1"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tc={6CE522D7-FF6A-4759-85E0-7074F2400B8C}</author>
    <author>tc={6F2AC5CC-8D80-4DD1-A69C-DD3EDB8A5105}</author>
    <author>Brady Hill</author>
    <author>tc={84D189B3-F0DA-46B7-853F-A654BDB0385E}</author>
    <author>tc={F8DDA29A-CE4D-4867-BF71-81C49CDA3120}</author>
    <author>Vail, Nick  (KIPDA)</author>
    <author>tc={C288621D-A149-4017-910A-CF8A0C7C61CF}</author>
    <author>Deatherage, Amanda C  (KIPDA)</author>
    <author>tc={F6365C39-358D-4655-9342-8960E6E57F77}</author>
    <author>tc={71C8933E-A7D1-4538-9D81-38A7B629903B}</author>
    <author>tc={8D932E83-76C3-402F-A145-AE49C4D827B5}</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H101" authorId="2" shapeId="0" xr:uid="{6CE522D7-FF6A-4759-85E0-7074F2400B8C}">
      <text>
        <t>[Threaded comment]
Your version of Excel allows you to read this threaded comment; however, any edits to it will get removed if the file is opened in a newer version of Excel. Learn more: https://go.microsoft.com/fwlink/?linkid=870924
Comment:
    Letting scheduled for Spring 2027 as of February 2026. Need to phase shift.</t>
      </text>
    </comment>
    <comment ref="AH102" authorId="3" shapeId="0" xr:uid="{6F2AC5CC-8D80-4DD1-A69C-DD3EDB8A5105}">
      <text>
        <t>[Threaded comment]
Your version of Excel allows you to read this threaded comment; however, any edits to it will get removed if the file is opened in a newer version of Excel. Learn more: https://go.microsoft.com/fwlink/?linkid=870924
Comment:
    Most recent anticipated letting date is spring 2028..., which is FY28, so need to update timeline. (as of 4.21.26)</t>
      </text>
    </comment>
    <comment ref="AG134" authorId="4" shapeId="0" xr:uid="{74C4E7FC-17E8-4B77-B75C-E5D9574F9395}">
      <text>
        <r>
          <rPr>
            <sz val="11"/>
            <color theme="1"/>
            <rFont val="Calibri"/>
            <family val="2"/>
            <scheme val="minor"/>
          </rPr>
          <t xml:space="preserve">Brady Hill:
KYTC authorized unprogrammed funding for this phase.  KYTC has since swapped the authorized KIPDA funding with state funds. See Ron Rigney email on 12.17.25
</t>
        </r>
      </text>
    </comment>
    <comment ref="AG179" authorId="4" shapeId="0" xr:uid="{A6A45813-29F7-4F3E-985E-8DD6727626B3}">
      <text>
        <r>
          <rPr>
            <sz val="11"/>
            <color theme="1"/>
            <rFont val="Calibri"/>
            <family val="2"/>
            <scheme val="minor"/>
          </rPr>
          <t>Brady Hill:
KYTC authorized unprogrammed funding for this phase. KYTC has since swapped over-authorized KIPDA funds with state funds. See Ron Rigney email on 12.17.25</t>
        </r>
      </text>
    </comment>
    <comment ref="AG238" authorId="5"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AH455" authorId="6" shapeId="0" xr:uid="{F8DDA29A-CE4D-4867-BF71-81C49CDA3120}">
      <text>
        <t>[Threaded comment]
Your version of Excel allows you to read this threaded comment; however, any edits to it will get removed if the file is opened in a newer version of Excel. Learn more: https://go.microsoft.com/fwlink/?linkid=870924
Comment:
    Anticipated to let in summer 2026 as of 4.21.26</t>
      </text>
    </comment>
    <comment ref="G505" authorId="7"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H518" authorId="8" shapeId="0" xr:uid="{C288621D-A149-4017-910A-CF8A0C7C61CF}">
      <text>
        <t>[Threaded comment]
Your version of Excel allows you to read this threaded comment; however, any edits to it will get removed if the file is opened in a newer version of Excel. Learn more: https://go.microsoft.com/fwlink/?linkid=870924
Comment:
    Needs to be shifted to FY26 in TIP</t>
      </text>
    </comment>
    <comment ref="AE552" authorId="4" shapeId="0" xr:uid="{DE239BB6-5DEA-44A8-AD3A-949DD8E93882}">
      <text>
        <r>
          <rPr>
            <sz val="11"/>
            <color theme="1"/>
            <rFont val="Calibri"/>
            <family val="2"/>
            <scheme val="minor"/>
          </rPr>
          <t>Brady Hill:
Revised after shifted leftover funds to U phase in FY27 as part of 2025 CFP.</t>
        </r>
      </text>
    </comment>
    <comment ref="AG552" authorId="4" shapeId="0" xr:uid="{D046FBF8-6978-4118-8203-DCF22B05FDDC}">
      <text>
        <r>
          <rPr>
            <sz val="11"/>
            <color theme="1"/>
            <rFont val="Calibri"/>
            <family val="2"/>
            <scheme val="minor"/>
          </rPr>
          <t xml:space="preserve">Brady Hill:
Per Brian Eaton Email on 8.28.25
</t>
        </r>
      </text>
    </comment>
    <comment ref="AE563" authorId="4" shapeId="0" xr:uid="{4D2EB6A4-38C9-4880-90AE-FE04EA45A97E}">
      <text>
        <r>
          <rPr>
            <sz val="11"/>
            <color theme="1"/>
            <rFont val="Calibri"/>
            <family val="2"/>
            <scheme val="minor"/>
          </rPr>
          <t>Brady Hill:
Revised after shifted leftover funds to U phase in FY27 as part of 2025 CFP.</t>
        </r>
      </text>
    </comment>
    <comment ref="AG563" authorId="4" shapeId="0" xr:uid="{3E280614-C96D-4ED9-95AF-C3A87D5CD594}">
      <text>
        <r>
          <rPr>
            <sz val="11"/>
            <color theme="1"/>
            <rFont val="Calibri"/>
            <family val="2"/>
            <scheme val="minor"/>
          </rPr>
          <t>Brady Hill:
Per Brian Eaton Email on 8.28.25</t>
        </r>
      </text>
    </comment>
    <comment ref="J608" authorId="9"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K708" authorId="4" shapeId="0" xr:uid="{1809D428-4265-4739-A390-8FD974B74F5B}">
      <text>
        <r>
          <rPr>
            <sz val="11"/>
            <color theme="1"/>
            <rFont val="Calibri"/>
            <family val="2"/>
            <scheme val="minor"/>
          </rPr>
          <t/>
        </r>
      </text>
    </comment>
    <comment ref="AH763" authorId="10" shapeId="0" xr:uid="{F6365C39-358D-4655-9342-8960E6E57F77}">
      <text>
        <t>[Threaded comment]
Your version of Excel allows you to read this threaded comment; however, any edits to it will get removed if the file is opened in a newer version of Excel. Learn more: https://go.microsoft.com/fwlink/?linkid=870924
Comment:
    C Funding should be approved summer of 2026 if all goes well as of 4.21.26</t>
      </text>
    </comment>
    <comment ref="AH775" authorId="11" shapeId="0" xr:uid="{71C8933E-A7D1-4538-9D81-38A7B629903B}">
      <text>
        <t>[Threaded comment]
Your version of Excel allows you to read this threaded comment; however, any edits to it will get removed if the file is opened in a newer version of Excel. Learn more: https://go.microsoft.com/fwlink/?linkid=870924
Comment:
    Could let by the end of the calendar year 2026 if all goes well as of 4.21.26</t>
      </text>
    </comment>
    <comment ref="AH786" authorId="12" shapeId="0" xr:uid="{8D932E83-76C3-402F-A145-AE49C4D827B5}">
      <text>
        <t>[Threaded comment]
Your version of Excel allows you to read this threaded comment; however, any edits to it will get removed if the file is opened in a newer version of Excel. Learn more: https://go.microsoft.com/fwlink/?linkid=870924
Comment:
    Projected to let in summer 2026 hopefully as of 4.21.26</t>
      </text>
    </comment>
    <comment ref="G821" authorId="7"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7"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7"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9"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9"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9"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4"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4"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<sst xmlns="http://schemas.openxmlformats.org/spreadsheetml/2006/main" count="13709" uniqueCount="661">
  <si>
    <t>Indiana MPO-Dedicated Funding Programs</t>
  </si>
  <si>
    <t>Updated as of 5.1.26</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</si>
  <si>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</si>
  <si>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</si>
  <si>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</si>
  <si>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</si>
  <si>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</si>
  <si>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</si>
  <si>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</si>
  <si>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</si>
  <si>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</si>
  <si>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</si>
  <si>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</si>
  <si>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</si>
  <si>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</si>
  <si>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</si>
  <si>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</si>
  <si>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</si>
  <si>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</si>
  <si>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</si>
  <si>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</si>
  <si>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</si>
  <si>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</si>
  <si>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</si>
  <si>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</si>
  <si>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</si>
  <si>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</si>
  <si>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</si>
  <si>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</si>
  <si>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</si>
  <si>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</si>
  <si>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</si>
  <si>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</si>
  <si>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</si>
  <si>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</si>
  <si>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</si>
  <si>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</si>
  <si>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</si>
  <si>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</si>
  <si>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</si>
  <si>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</si>
  <si>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</si>
  <si>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</si>
  <si>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</si>
  <si>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</si>
  <si>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</si>
  <si>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</si>
  <si>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</si>
  <si>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</si>
  <si>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</si>
  <si>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</si>
  <si>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</si>
  <si>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</si>
  <si>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</si>
  <si>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</si>
  <si>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</si>
  <si>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</si>
  <si>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</si>
  <si>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</si>
  <si>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</si>
  <si>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</si>
  <si>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</si>
  <si>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</si>
  <si>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</si>
  <si>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</si>
  <si>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</si>
  <si>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</si>
  <si>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</si>
  <si>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</si>
  <si>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</si>
  <si>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</si>
  <si>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</si>
  <si>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</si>
  <si>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</si>
  <si>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</si>
  <si>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</si>
  <si>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</si>
  <si>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</si>
  <si>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</si>
  <si>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</si>
  <si>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</si>
  <si>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</si>
  <si>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</si>
  <si>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</si>
  <si>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</si>
  <si>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</si>
  <si>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</si>
  <si>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</si>
  <si>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</si>
  <si>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</si>
  <si>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</si>
  <si>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</si>
  <si>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</si>
  <si>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</si>
  <si>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</si>
  <si>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</si>
  <si>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</si>
  <si>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</si>
  <si>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</si>
  <si>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</si>
  <si>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</si>
  <si>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</si>
  <si>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</si>
  <si>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</si>
  <si>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</si>
  <si>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</si>
  <si>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</si>
  <si>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</si>
  <si>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</si>
  <si>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</si>
  <si>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</si>
  <si>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</si>
  <si>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</si>
  <si>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</si>
  <si>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</si>
  <si>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</si>
  <si>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</si>
  <si>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</si>
  <si>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</si>
  <si>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</si>
  <si>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</si>
  <si>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</si>
  <si>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</si>
  <si>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</si>
  <si>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</si>
  <si>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</si>
  <si>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</si>
  <si>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</si>
  <si>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</si>
  <si>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</si>
  <si>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</si>
  <si>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</si>
  <si>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</si>
  <si>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</si>
  <si>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</si>
  <si>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</si>
  <si>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</si>
  <si>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</si>
  <si>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</si>
  <si>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</si>
  <si>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</si>
  <si>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</si>
  <si>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</si>
  <si>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</si>
  <si>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</si>
  <si>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</si>
  <si>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</si>
  <si>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</si>
  <si>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</si>
  <si>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</si>
  <si>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</si>
  <si>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</si>
  <si>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</si>
  <si>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</si>
  <si>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</si>
  <si>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</si>
  <si>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</si>
  <si>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</si>
  <si>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</si>
  <si>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</si>
  <si>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</si>
  <si>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</si>
  <si>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</si>
  <si>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</si>
  <si>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</si>
  <si>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</si>
  <si>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</si>
  <si>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</si>
  <si>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</si>
  <si>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</si>
  <si>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</si>
  <si>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</si>
  <si>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</si>
  <si>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</si>
  <si>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</si>
  <si>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</si>
  <si>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</si>
  <si>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</si>
  <si>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</si>
  <si>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</si>
  <si>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</si>
  <si>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</si>
  <si>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</si>
  <si>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</si>
  <si>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</si>
  <si>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</si>
  <si>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</si>
  <si>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</si>
  <si>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</si>
  <si>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</si>
  <si>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</si>
  <si>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</si>
  <si>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</si>
  <si>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</si>
  <si>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</si>
  <si>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</si>
  <si>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</si>
  <si>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</si>
  <si>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</si>
  <si>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</si>
  <si>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</si>
  <si>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</si>
  <si>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</si>
  <si>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</si>
  <si>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</si>
  <si>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</si>
  <si>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</si>
  <si>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</si>
  <si>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Jeffersontown</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</si>
  <si>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</si>
  <si>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</si>
  <si>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</si>
  <si>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</si>
  <si>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</si>
  <si>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</si>
  <si>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</si>
  <si>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</si>
  <si>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</si>
  <si>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</si>
  <si>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</si>
  <si>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</si>
  <si>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</si>
  <si>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</si>
  <si>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</si>
  <si>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Louisville Metro Parks</t>
  </si>
  <si>
    <t>Bus Stop and Access Improvements -  M. Ali and Chestnut Street Corridor</t>
  </si>
  <si>
    <t>Westport Road Sidewalk through I-265 Interchange</t>
  </si>
  <si>
    <t>5-598.00</t>
  </si>
  <si>
    <t>Louisville Metro PW</t>
  </si>
  <si>
    <t>Dixie Highway Streetscape - Maple to Garland</t>
  </si>
  <si>
    <t>5-478.81</t>
  </si>
  <si>
    <t>Bus Stop Improvements at Transit Node Eastern Parkway and Preston/Shelby Street</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</si>
  <si>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</si>
  <si>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</si>
  <si>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</si>
  <si>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</si>
  <si>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</si>
  <si>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</si>
  <si>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</si>
  <si>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</si>
  <si>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</si>
  <si>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</si>
  <si>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</si>
  <si>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</si>
  <si>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</si>
  <si>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</si>
  <si>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</si>
  <si>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</si>
  <si>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</si>
  <si>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</si>
  <si>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</si>
  <si>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</si>
  <si>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</si>
  <si>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</si>
  <si>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</si>
  <si>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</si>
  <si>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</si>
  <si>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</si>
  <si>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</si>
  <si>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</si>
  <si>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</si>
  <si>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</si>
  <si>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</si>
  <si>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</si>
  <si>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</si>
  <si>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</si>
  <si>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</si>
  <si>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</si>
  <si>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</si>
  <si>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</si>
  <si>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</si>
  <si>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</si>
  <si>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</si>
  <si>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</si>
  <si>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</si>
  <si>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</si>
  <si>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</si>
  <si>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</si>
  <si>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</si>
  <si>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</si>
  <si>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</si>
  <si>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</si>
  <si>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</si>
  <si>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</si>
  <si>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</si>
  <si>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</si>
  <si>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</si>
  <si>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</si>
  <si>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</si>
  <si>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</si>
  <si>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</si>
  <si>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</si>
  <si>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</si>
  <si>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</si>
  <si>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</si>
  <si>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</si>
  <si>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</si>
  <si>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</si>
  <si>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</si>
  <si>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</si>
  <si>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</si>
  <si>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</si>
  <si>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</si>
  <si>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</si>
  <si>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</si>
  <si>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</si>
  <si>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</si>
  <si>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</si>
  <si>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</si>
  <si>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</si>
  <si>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</si>
  <si>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</si>
  <si>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</si>
  <si>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</si>
  <si>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</si>
  <si>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</si>
  <si>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</si>
  <si>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</si>
  <si>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</si>
  <si>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</si>
  <si>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</si>
  <si>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</si>
  <si>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</si>
  <si>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</si>
  <si>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</si>
  <si>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</si>
  <si>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</si>
  <si>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</si>
  <si>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</si>
  <si>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</si>
  <si>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</si>
  <si>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</si>
  <si>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</si>
  <si>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</si>
  <si>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</si>
  <si>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</si>
  <si>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</si>
  <si>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</si>
  <si>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</si>
  <si>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</si>
  <si>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</si>
  <si>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</si>
  <si>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</si>
  <si>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</si>
  <si>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</si>
  <si>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</si>
  <si>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</si>
  <si>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</si>
  <si>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</si>
  <si>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</si>
  <si>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</si>
  <si>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</si>
  <si>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</si>
  <si>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</si>
  <si>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</si>
  <si>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</si>
  <si>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</si>
  <si>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</si>
  <si>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</si>
  <si>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</si>
  <si>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</si>
  <si>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</si>
  <si>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</si>
  <si>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</si>
  <si>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</si>
  <si>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</si>
  <si>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</si>
  <si>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</si>
  <si>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</si>
  <si>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</si>
  <si>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</si>
  <si>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</si>
  <si>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</si>
  <si>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</si>
  <si>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</si>
  <si>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</si>
  <si>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</si>
  <si>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</si>
  <si>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</si>
  <si>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</si>
  <si>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</si>
  <si>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</si>
  <si>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</si>
  <si>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</si>
  <si>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</si>
  <si>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</si>
  <si>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</si>
  <si>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</si>
  <si>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</si>
  <si>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</si>
  <si>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</si>
  <si>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</si>
  <si>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</si>
  <si>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</si>
  <si>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</si>
  <si>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</si>
  <si>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</si>
  <si>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</si>
  <si>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</si>
  <si>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</si>
  <si>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</si>
  <si>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</si>
  <si>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</si>
  <si>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</si>
  <si>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</si>
  <si>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</si>
  <si>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</si>
  <si>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</si>
  <si>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</si>
  <si>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</si>
  <si>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</si>
  <si>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</si>
  <si>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</si>
  <si>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</si>
  <si>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</si>
  <si>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</si>
  <si>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</si>
  <si>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</si>
  <si>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</si>
  <si>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</si>
  <si>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</si>
  <si>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</si>
  <si>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</si>
  <si>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</si>
  <si>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</si>
  <si>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</si>
  <si>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</si>
  <si>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</si>
  <si>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</si>
  <si>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</si>
  <si>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</si>
  <si>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</si>
  <si>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</si>
  <si>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</si>
  <si>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</si>
  <si>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</si>
  <si>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</si>
  <si>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</si>
  <si>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</si>
  <si>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</si>
  <si>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</si>
  <si>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</si>
  <si>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</si>
  <si>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</si>
  <si>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</si>
  <si>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</si>
  <si>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</si>
  <si>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</si>
  <si>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</si>
  <si>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</si>
  <si>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</si>
  <si>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</si>
  <si>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</si>
  <si>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</si>
  <si>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</si>
  <si>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</si>
  <si>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</si>
  <si>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</si>
  <si>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</si>
  <si>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</si>
  <si>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</si>
  <si>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</si>
  <si>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</si>
  <si>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</si>
  <si>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</si>
  <si>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</si>
  <si>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</si>
  <si>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</si>
  <si>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</si>
  <si>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</si>
  <si>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</si>
  <si>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</si>
  <si>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</si>
  <si>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</si>
  <si>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</si>
  <si>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</si>
  <si>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</si>
  <si>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</si>
  <si>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</si>
  <si>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</si>
  <si>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</si>
  <si>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</si>
  <si>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</si>
  <si>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</si>
  <si>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</si>
  <si>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</si>
  <si>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</si>
  <si>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</si>
  <si>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</si>
  <si>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</si>
  <si>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</si>
  <si>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</si>
  <si>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</si>
  <si>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</si>
  <si>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</si>
  <si>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</si>
  <si>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</si>
  <si>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</si>
  <si>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</si>
  <si>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</si>
  <si>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</si>
  <si>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</si>
  <si>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</si>
  <si>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</si>
  <si>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</si>
  <si>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</si>
  <si>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</si>
  <si>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</si>
  <si>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</si>
  <si>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</si>
  <si>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</si>
  <si>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</si>
  <si>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</si>
  <si>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</si>
  <si>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</si>
  <si>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</si>
  <si>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</si>
  <si>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</si>
  <si>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</si>
  <si>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</si>
  <si>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</si>
  <si>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</si>
  <si>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</si>
  <si>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</si>
  <si>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</si>
  <si>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</si>
  <si>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</si>
  <si>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</si>
  <si>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</si>
  <si>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</si>
  <si>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</si>
  <si>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</si>
  <si>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</si>
  <si>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</si>
  <si>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</si>
  <si>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</si>
  <si>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</si>
  <si>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</si>
  <si>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</si>
  <si>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</si>
  <si>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</si>
  <si>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</si>
  <si>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</si>
  <si>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</si>
  <si>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</si>
  <si>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</si>
  <si>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</si>
  <si>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</si>
  <si>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</si>
  <si>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</si>
  <si>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</si>
  <si>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</si>
  <si>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</si>
  <si>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</si>
  <si>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</si>
  <si>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</si>
  <si>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</si>
  <si>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 xml:space="preserve"> </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</si>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</sst>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17">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165" fontId="0" fillId="18" borderId="13" xfId="1" applyNumberFormat="1" applyFont="1" applyFill="1" applyBorder="1" applyProtection="1">
      <protection locked="0"/>
    </xf>
    <xf numFmtId="165" fontId="0" fillId="18" borderId="12" xfId="1" applyNumberFormat="1" applyFon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165" fontId="4" fillId="7" borderId="35" xfId="1" applyNumberFormat="1" applyFont="1" applyFill="1" applyBorder="1" applyProtection="1">
      <protection locked="0"/>
    </xf>
    <xf numFmtId="0" fontId="6" fillId="0" borderId="56" xfId="0" applyFont="1" applyBorder="1" applyAlignment="1">
      <alignment horizontal="center" vertical="center" wrapText="1"/>
    </xf>
    <xf numFmtId="0" fontId="6" fillId="0" borderId="60"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31"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32"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129" xfId="0" applyBorder="1" applyAlignment="1" applyProtection="1">
      <alignment horizontal="left" vertical="center" wrapText="1"/>
      <protection locked="0"/>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0" fillId="0" borderId="130" xfId="0" applyBorder="1" applyAlignment="1" applyProtection="1">
      <alignment horizontal="left" vertical="top"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57" xfId="0" applyFont="1" applyBorder="1" applyAlignment="1">
      <alignment horizontal="center" vertical="center"/>
    </xf>
    <xf numFmtId="0" fontId="4" fillId="0" borderId="31" xfId="0" applyFont="1" applyBorder="1" applyAlignment="1">
      <alignment horizontal="center" vertical="center"/>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35" xfId="0" applyFont="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4" fillId="0" borderId="56" xfId="0" applyFont="1" applyBorder="1" applyAlignment="1">
      <alignment horizontal="center"/>
    </xf>
    <xf numFmtId="0" fontId="4" fillId="0" borderId="57" xfId="0" applyFont="1" applyBorder="1" applyAlignment="1">
      <alignment horizontal="center"/>
    </xf>
    <xf numFmtId="0" fontId="4" fillId="0" borderId="58" xfId="0" applyFont="1" applyBorder="1" applyAlignment="1">
      <alignment horizontal="center"/>
    </xf>
    <xf numFmtId="0" fontId="4" fillId="0" borderId="59" xfId="0" applyFont="1" applyBorder="1" applyAlignment="1">
      <alignment horizontal="center" vertical="center" wrapText="1"/>
    </xf>
    <xf numFmtId="0" fontId="4" fillId="0" borderId="36"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36" xfId="0" applyFont="1" applyBorder="1" applyAlignment="1">
      <alignment horizontal="center" vertical="center" wrapText="1"/>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2" fontId="18" fillId="0" borderId="130" xfId="0" applyNumberFormat="1" applyFont="1" applyBorder="1" applyAlignment="1" applyProtection="1">
      <alignment horizontal="center" vertical="center" wrapText="1"/>
      <protection locked="0"/>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6" fillId="0" borderId="11"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3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5" fillId="0" borderId="2" xfId="0" applyFont="1" applyBorder="1" applyAlignment="1">
      <alignment horizontal="center" vertical="center"/>
    </xf>
    <xf numFmtId="0" fontId="5" fillId="0" borderId="0" xfId="0" applyFont="1" applyAlignment="1">
      <alignment horizontal="center" vertical="center"/>
    </xf>
    <xf numFmtId="0" fontId="16" fillId="0" borderId="0" xfId="0" applyFont="1" applyAlignment="1">
      <alignment horizontal="center" vertical="center"/>
    </xf>
    <xf numFmtId="0" fontId="4" fillId="0" borderId="135" xfId="0" applyFont="1" applyBorder="1" applyAlignment="1">
      <alignment horizontal="center"/>
    </xf>
    <xf numFmtId="0" fontId="4" fillId="0" borderId="84" xfId="0" applyFont="1" applyBorder="1" applyAlignment="1">
      <alignment horizontal="center" vertical="center"/>
    </xf>
    <xf numFmtId="0" fontId="6" fillId="0" borderId="84" xfId="0" applyFont="1" applyBorder="1" applyAlignment="1">
      <alignment horizontal="center" vertical="center" wrapText="1"/>
    </xf>
    <xf numFmtId="165" fontId="0" fillId="0" borderId="35" xfId="0" applyNumberFormat="1" applyBorder="1" applyAlignment="1">
      <alignment horizontal="center" vertical="center"/>
    </xf>
    <xf numFmtId="0" fontId="0" fillId="0" borderId="35" xfId="0" applyBorder="1" applyAlignment="1">
      <alignment horizontal="center" vertical="center"/>
    </xf>
    <xf numFmtId="9" fontId="0" fillId="0" borderId="35" xfId="2" applyFont="1" applyFill="1" applyBorder="1" applyAlignment="1">
      <alignment horizontal="center" vertical="center"/>
    </xf>
    <xf numFmtId="0" fontId="6" fillId="0" borderId="30" xfId="0" applyFont="1" applyBorder="1" applyAlignment="1">
      <alignment horizontal="center" vertical="center" wrapText="1"/>
    </xf>
    <xf numFmtId="2" fontId="0" fillId="0" borderId="12" xfId="0" applyNumberFormat="1" applyBorder="1" applyAlignment="1" applyProtection="1">
      <alignment horizontal="center" vertical="center"/>
      <protection locked="0"/>
    </xf>
    <xf numFmtId="0" fontId="6" fillId="0" borderId="50"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2" fontId="0" fillId="0" borderId="131" xfId="0" applyNumberFormat="1" applyBorder="1" applyAlignment="1" applyProtection="1">
      <alignment horizontal="center" vertical="center"/>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2" fontId="0" fillId="0" borderId="130" xfId="0" applyNumberFormat="1" applyBorder="1" applyAlignment="1" applyProtection="1">
      <alignment horizontal="center" vertical="center"/>
      <protection locked="0"/>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166" fontId="0" fillId="0" borderId="35" xfId="2" applyNumberFormat="1" applyFont="1" applyFill="1" applyBorder="1" applyAlignment="1">
      <alignment horizontal="center" vertical="center"/>
    </xf>
    <xf numFmtId="166" fontId="0" fillId="0" borderId="132" xfId="2" applyNumberFormat="1" applyFont="1" applyFill="1" applyBorder="1" applyAlignment="1">
      <alignment horizontal="center" vertical="center"/>
    </xf>
    <xf numFmtId="9" fontId="0" fillId="0" borderId="132" xfId="2" applyFont="1" applyFill="1" applyBorder="1" applyAlignment="1">
      <alignment horizontal="center" vertical="center"/>
    </xf>
    <xf numFmtId="165" fontId="0" fillId="0" borderId="89" xfId="0" applyNumberForma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0" fontId="4" fillId="0" borderId="88" xfId="0" applyFont="1" applyBorder="1" applyAlignment="1">
      <alignment horizontal="center" vertical="center"/>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135" xfId="0" applyFont="1" applyBorder="1" applyAlignment="1">
      <alignment horizontal="center" vertical="center"/>
    </xf>
    <xf numFmtId="0" fontId="6" fillId="0" borderId="71" xfId="0" applyFont="1" applyBorder="1" applyAlignment="1">
      <alignment horizontal="center" vertical="center" wrapText="1"/>
    </xf>
    <xf numFmtId="0" fontId="6" fillId="0" borderId="52" xfId="0" applyFont="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17"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6" fillId="0" borderId="51" xfId="0" applyFont="1" applyBorder="1" applyAlignment="1">
      <alignment horizontal="center" vertical="center" wrapText="1"/>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0" fillId="0" borderId="37"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0" fillId="0" borderId="37"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4" fillId="0" borderId="33" xfId="0" applyFont="1" applyBorder="1" applyAlignment="1">
      <alignment horizontal="center" vertical="center" wrapText="1"/>
    </xf>
    <xf numFmtId="17" fontId="9" fillId="0" borderId="82" xfId="0" quotePrefix="1" applyNumberFormat="1" applyFont="1" applyBorder="1" applyAlignment="1">
      <alignment horizontal="right" vertical="center" wrapText="1"/>
    </xf>
    <xf numFmtId="17" fontId="9" fillId="0" borderId="81"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1"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0" borderId="76" xfId="0" quotePrefix="1" applyNumberFormat="1" applyFont="1" applyBorder="1" applyAlignment="1">
      <alignment horizontal="right" vertical="center" wrapText="1"/>
    </xf>
    <xf numFmtId="17" fontId="9" fillId="0" borderId="0" xfId="0" quotePrefix="1" applyNumberFormat="1" applyFont="1" applyAlignment="1">
      <alignment horizontal="right"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0" fontId="3" fillId="3" borderId="13" xfId="0" applyFont="1" applyFill="1" applyBorder="1" applyAlignment="1">
      <alignment horizontal="center"/>
    </xf>
    <xf numFmtId="0" fontId="3" fillId="3" borderId="12" xfId="0" applyFont="1" applyFill="1" applyBorder="1" applyAlignment="1">
      <alignment horizontal="center"/>
    </xf>
    <xf numFmtId="0" fontId="3" fillId="3" borderId="35" xfId="0" applyFont="1" applyFill="1" applyBorder="1" applyAlignment="1">
      <alignment horizontal="center"/>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0" fontId="6" fillId="0" borderId="135" xfId="0" applyFont="1" applyBorder="1" applyAlignment="1">
      <alignment horizontal="center" vertical="center" wrapText="1"/>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11" fillId="2" borderId="14" xfId="0" applyFont="1" applyFill="1" applyBorder="1" applyAlignment="1">
      <alignment horizont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4" xfId="0" quotePrefix="1" applyNumberFormat="1" applyFont="1" applyFill="1" applyBorder="1" applyAlignment="1">
      <alignment horizontal="center" wrapText="1"/>
    </xf>
    <xf numFmtId="0" fontId="3" fillId="3" borderId="34" xfId="0" applyFont="1" applyFill="1" applyBorder="1" applyAlignment="1">
      <alignment horizontal="center"/>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166" fontId="0" fillId="0" borderId="127" xfId="2" applyNumberFormat="1" applyFont="1" applyFill="1" applyBorder="1" applyAlignment="1">
      <alignment horizontal="center" vertical="center"/>
    </xf>
    <xf numFmtId="0" fontId="20" fillId="0" borderId="130" xfId="0" applyFont="1" applyBorder="1" applyAlignment="1" applyProtection="1">
      <alignment horizontal="left" vertical="top" wrapText="1"/>
      <protection locked="0"/>
    </xf>
    <xf numFmtId="17" fontId="9" fillId="0" borderId="77" xfId="0" quotePrefix="1" applyNumberFormat="1" applyFont="1" applyBorder="1" applyAlignment="1">
      <alignment horizontal="right" vertical="center" wrapText="1"/>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0" fillId="0" borderId="188" xfId="0" applyBorder="1" applyAlignment="1" applyProtection="1">
      <alignment horizontal="left" vertical="center" wrapText="1"/>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20" fillId="0" borderId="37" xfId="0" applyFont="1"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7"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4" fillId="0" borderId="150"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17" fontId="8" fillId="0" borderId="3" xfId="0" quotePrefix="1" applyNumberFormat="1" applyFont="1" applyBorder="1" applyAlignment="1">
      <alignment horizontal="center" wrapText="1"/>
    </xf>
    <xf numFmtId="0" fontId="4" fillId="0" borderId="106" xfId="0" applyFont="1" applyBorder="1" applyAlignment="1">
      <alignment horizontal="center" vertical="center"/>
    </xf>
    <xf numFmtId="0" fontId="3" fillId="0" borderId="80" xfId="0" applyFont="1" applyBorder="1" applyAlignment="1">
      <alignment horizontal="center"/>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0" fontId="11" fillId="17" borderId="95" xfId="0" applyFont="1" applyFill="1" applyBorder="1" applyAlignment="1">
      <alignment horizontal="center"/>
    </xf>
    <xf numFmtId="166" fontId="12" fillId="4" borderId="95" xfId="2" applyNumberFormat="1" applyFont="1" applyFill="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1" fontId="0" fillId="0" borderId="17" xfId="0" applyNumberFormat="1" applyBorder="1" applyAlignment="1" applyProtection="1">
      <alignment horizontal="center" vertical="center" wrapText="1"/>
      <protection locked="0"/>
    </xf>
    <xf numFmtId="0" fontId="0" fillId="0" borderId="184" xfId="0" applyBorder="1" applyAlignment="1" applyProtection="1">
      <alignment horizontal="left" vertical="center" wrapText="1"/>
      <protection locked="0"/>
    </xf>
    <xf numFmtId="0" fontId="4" fillId="0" borderId="150" xfId="0" applyFont="1" applyBorder="1" applyAlignment="1">
      <alignment horizontal="center" vertical="center"/>
    </xf>
    <xf numFmtId="0" fontId="4" fillId="0" borderId="149" xfId="0" applyFont="1" applyBorder="1" applyAlignment="1">
      <alignment horizontal="center" vertical="center"/>
    </xf>
    <xf numFmtId="0" fontId="4" fillId="0" borderId="152" xfId="0" applyFont="1" applyBorder="1" applyAlignment="1">
      <alignment horizontal="center" vertical="center"/>
    </xf>
    <xf numFmtId="0" fontId="6" fillId="0" borderId="178" xfId="0" applyFont="1" applyBorder="1" applyAlignment="1">
      <alignment horizontal="center" vertical="center" wrapText="1"/>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1" fontId="17" fillId="0" borderId="61" xfId="0" applyNumberFormat="1" applyFont="1" applyBorder="1" applyAlignment="1" applyProtection="1">
      <alignment horizontal="center" vertical="center" wrapText="1"/>
      <protection locked="0"/>
    </xf>
    <xf numFmtId="0" fontId="4" fillId="0" borderId="90" xfId="0" applyFont="1" applyBorder="1" applyAlignment="1">
      <alignment horizontal="center" vertic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13" borderId="148" xfId="0" quotePrefix="1" applyNumberFormat="1" applyFont="1" applyFill="1" applyBorder="1" applyAlignment="1">
      <alignment horizontal="right" vertical="center" wrapText="1"/>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7" xfId="0" quotePrefix="1" applyNumberFormat="1" applyFont="1" applyFill="1" applyBorder="1" applyAlignment="1">
      <alignment horizontal="center" wrapText="1"/>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5"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65" xfId="0" applyBorder="1" applyAlignment="1" applyProtection="1">
      <alignment horizontal="left" vertical="top" wrapText="1"/>
      <protection locked="0"/>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50" xfId="0" applyFont="1" applyBorder="1" applyAlignment="1">
      <alignment horizontal="center" vertical="center"/>
    </xf>
    <xf numFmtId="0" fontId="4" fillId="0" borderId="34" xfId="0" applyFont="1" applyBorder="1" applyAlignment="1">
      <alignment horizontal="center" vertical="center"/>
    </xf>
    <xf numFmtId="0" fontId="0" fillId="0" borderId="113"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6" xfId="0"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169" dT="2026-01-07T14:10:35.14" personId="{DA63AD9F-ADD4-4630-B2A8-EE4503622FCA}" id="{61B4E3C2-9D20-41B0-BFDD-9322166D7EA5}">
    <text>Never authorized</text>
  </threadedComment>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H101" dT="2026-02-17T14:24:14.08" personId="{DA63AD9F-ADD4-4630-B2A8-EE4503622FCA}" id="{6CE522D7-FF6A-4759-85E0-7074F2400B8C}">
    <text>Letting scheduled for Spring 2027 as of February 2026. Need to phase shift.</text>
  </threadedComment>
  <threadedComment ref="AH102" dT="2026-04-21T13:20:32.12" personId="{DA63AD9F-ADD4-4630-B2A8-EE4503622FCA}" id="{6F2AC5CC-8D80-4DD1-A69C-DD3EDB8A5105}">
    <text>Most recent anticipated letting date is spring 2028..., which is FY28, so need to update timeline. (as of 4.21.26)</text>
  </threadedComment>
  <threadedComment ref="AG238" dT="2025-10-22T14:55:33.45" personId="{DA63AD9F-ADD4-4630-B2A8-EE4503622FCA}" id="{84D189B3-F0DA-46B7-853F-A654BDB0385E}">
    <text>Double check on this obligation status</text>
  </threadedComment>
  <threadedComment ref="AH455" dT="2026-04-21T13:38:39.25" personId="{DA63AD9F-ADD4-4630-B2A8-EE4503622FCA}" id="{F8DDA29A-CE4D-4867-BF71-81C49CDA3120}">
    <text>Anticipated to let in summer 2026 as of 4.21.26</text>
  </threadedComment>
  <threadedComment ref="AH518" dT="2025-10-22T14:48:40.27" personId="{DA63AD9F-ADD4-4630-B2A8-EE4503622FCA}" id="{C288621D-A149-4017-910A-CF8A0C7C61CF}">
    <text>Needs to be shifted to FY26 in TIP</text>
  </threadedComment>
  <threadedComment ref="AH763" dT="2026-04-21T14:05:50.14" personId="{DA63AD9F-ADD4-4630-B2A8-EE4503622FCA}" id="{F6365C39-358D-4655-9342-8960E6E57F77}">
    <text>C Funding should be approved summer of 2026 if all goes well as of 4.21.26</text>
  </threadedComment>
  <threadedComment ref="AH775" dT="2026-04-21T13:40:01.40" personId="{DA63AD9F-ADD4-4630-B2A8-EE4503622FCA}" id="{71C8933E-A7D1-4538-9D81-38A7B629903B}">
    <text>Could let by the end of the calendar year 2026 if all goes well as of 4.21.26</text>
  </threadedComment>
  <threadedComment ref="AH786" dT="2026-04-21T13:40:58.36" personId="{DA63AD9F-ADD4-4630-B2A8-EE4503622FCA}" id="{8D932E83-76C3-402F-A145-AE49C4D827B5}">
    <text>Projected to let in summer 2026 hopefully as of 4.21.26</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view="pageBreakPreview" zoomScale="115" zoomScaleNormal="80" zoomScaleSheetLayoutView="115" workbookViewId="0">
      <pane xSplit="6" ySplit="4" topLeftCell="AH5" activePane="bottomRight" state="frozen"/>
      <selection pane="bottomRight" activeCell="AK21" sqref="AK21"/>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546" t="s">
        <v>0</v>
      </c>
      <c r="B1" s="546"/>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row>
    <row r="2" spans="1:50" ht="12.75" customHeight="1">
      <c r="A2" s="5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row>
    <row r="3" spans="1:50" ht="28.9" customHeight="1">
      <c r="A3" s="720" t="s">
        <v>1</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720"/>
      <c r="AJ3" s="720"/>
      <c r="AK3" s="720"/>
      <c r="AL3" s="720"/>
      <c r="AM3" s="720"/>
      <c r="AN3" s="720"/>
      <c r="AO3" s="720"/>
      <c r="AP3" s="720"/>
      <c r="AQ3" s="720"/>
      <c r="AR3" s="720"/>
      <c r="AS3" s="720"/>
      <c r="AT3" s="720"/>
      <c r="AU3" s="720"/>
      <c r="AV3" s="720"/>
      <c r="AW3" s="720"/>
      <c r="AX3" s="720"/>
    </row>
    <row r="4" spans="1:50">
      <c r="A4" s="721" t="s">
        <v>2</v>
      </c>
      <c r="B4" s="721"/>
      <c r="C4" s="721"/>
      <c r="D4" s="721"/>
      <c r="E4" s="721"/>
      <c r="F4" s="721"/>
      <c r="G4" s="719" t="s">
        <v>3</v>
      </c>
      <c r="H4" s="719"/>
      <c r="I4" s="719"/>
      <c r="J4" s="697" t="s">
        <v>4</v>
      </c>
      <c r="K4" s="697"/>
      <c r="L4" s="697"/>
      <c r="M4" s="697" t="s">
        <v>5</v>
      </c>
      <c r="N4" s="697"/>
      <c r="O4" s="697"/>
      <c r="P4" s="697" t="s">
        <v>6</v>
      </c>
      <c r="Q4" s="697"/>
      <c r="R4" s="697"/>
      <c r="S4" s="697" t="s">
        <v>7</v>
      </c>
      <c r="T4" s="697"/>
      <c r="U4" s="697"/>
      <c r="V4" s="697" t="s">
        <v>8</v>
      </c>
      <c r="W4" s="697"/>
      <c r="X4" s="697"/>
      <c r="Y4" s="697" t="s">
        <v>9</v>
      </c>
      <c r="Z4" s="697"/>
      <c r="AA4" s="697"/>
      <c r="AB4" s="697" t="s">
        <v>10</v>
      </c>
      <c r="AC4" s="697"/>
      <c r="AD4" s="697"/>
      <c r="AE4" s="697" t="s">
        <v>11</v>
      </c>
      <c r="AF4" s="697"/>
      <c r="AG4" s="697"/>
      <c r="AH4" s="697" t="s">
        <v>12</v>
      </c>
      <c r="AI4" s="697"/>
      <c r="AJ4" s="697"/>
      <c r="AK4" s="697" t="s">
        <v>13</v>
      </c>
      <c r="AL4" s="697"/>
      <c r="AM4" s="697"/>
      <c r="AN4" s="697" t="s">
        <v>14</v>
      </c>
      <c r="AO4" s="697"/>
      <c r="AP4" s="697"/>
      <c r="AQ4" s="697" t="s">
        <v>15</v>
      </c>
      <c r="AR4" s="697"/>
      <c r="AS4" s="697"/>
      <c r="AT4" s="697" t="s">
        <v>16</v>
      </c>
      <c r="AU4" s="697"/>
      <c r="AV4" s="697"/>
      <c r="AW4" s="288" t="s">
        <v>17</v>
      </c>
      <c r="AX4" s="47"/>
    </row>
    <row r="5" spans="1:50" ht="15" customHeight="1">
      <c r="A5" s="687" t="s">
        <v>18</v>
      </c>
      <c r="B5" s="688" t="s">
        <v>19</v>
      </c>
      <c r="C5" s="672" t="s">
        <v>20</v>
      </c>
      <c r="D5" s="688" t="s">
        <v>21</v>
      </c>
      <c r="E5" s="672" t="s">
        <v>22</v>
      </c>
      <c r="F5" s="689" t="s">
        <v>23</v>
      </c>
      <c r="G5" s="536" t="s">
        <v>24</v>
      </c>
      <c r="H5" s="494" t="s">
        <v>25</v>
      </c>
      <c r="I5" s="496" t="s">
        <v>26</v>
      </c>
      <c r="J5" s="536" t="s">
        <v>24</v>
      </c>
      <c r="K5" s="494" t="s">
        <v>25</v>
      </c>
      <c r="L5" s="496" t="s">
        <v>26</v>
      </c>
      <c r="M5" s="536" t="s">
        <v>24</v>
      </c>
      <c r="N5" s="494" t="s">
        <v>25</v>
      </c>
      <c r="O5" s="496" t="s">
        <v>26</v>
      </c>
      <c r="P5" s="536" t="s">
        <v>24</v>
      </c>
      <c r="Q5" s="494" t="s">
        <v>25</v>
      </c>
      <c r="R5" s="496" t="s">
        <v>26</v>
      </c>
      <c r="S5" s="536" t="s">
        <v>24</v>
      </c>
      <c r="T5" s="494" t="s">
        <v>25</v>
      </c>
      <c r="U5" s="496" t="s">
        <v>26</v>
      </c>
      <c r="V5" s="536" t="s">
        <v>24</v>
      </c>
      <c r="W5" s="494" t="s">
        <v>25</v>
      </c>
      <c r="X5" s="496" t="s">
        <v>26</v>
      </c>
      <c r="Y5" s="536" t="s">
        <v>24</v>
      </c>
      <c r="Z5" s="494" t="s">
        <v>25</v>
      </c>
      <c r="AA5" s="496" t="s">
        <v>26</v>
      </c>
      <c r="AB5" s="536" t="s">
        <v>24</v>
      </c>
      <c r="AC5" s="494" t="s">
        <v>25</v>
      </c>
      <c r="AD5" s="496" t="s">
        <v>26</v>
      </c>
      <c r="AE5" s="536" t="s">
        <v>24</v>
      </c>
      <c r="AF5" s="494" t="s">
        <v>25</v>
      </c>
      <c r="AG5" s="496" t="s">
        <v>26</v>
      </c>
      <c r="AH5" s="536" t="s">
        <v>24</v>
      </c>
      <c r="AI5" s="494" t="s">
        <v>25</v>
      </c>
      <c r="AJ5" s="496" t="s">
        <v>26</v>
      </c>
      <c r="AK5" s="536" t="s">
        <v>24</v>
      </c>
      <c r="AL5" s="494" t="s">
        <v>25</v>
      </c>
      <c r="AM5" s="496" t="s">
        <v>26</v>
      </c>
      <c r="AN5" s="536" t="s">
        <v>24</v>
      </c>
      <c r="AO5" s="494" t="s">
        <v>25</v>
      </c>
      <c r="AP5" s="496" t="s">
        <v>26</v>
      </c>
      <c r="AQ5" s="536" t="s">
        <v>24</v>
      </c>
      <c r="AR5" s="494" t="s">
        <v>25</v>
      </c>
      <c r="AS5" s="496" t="s">
        <v>26</v>
      </c>
      <c r="AT5" s="536" t="s">
        <v>24</v>
      </c>
      <c r="AU5" s="494" t="s">
        <v>25</v>
      </c>
      <c r="AV5" s="496" t="s">
        <v>26</v>
      </c>
      <c r="AW5" s="536" t="s">
        <v>24</v>
      </c>
      <c r="AX5" s="513" t="s">
        <v>27</v>
      </c>
    </row>
    <row r="6" spans="1:50" ht="15" customHeight="1">
      <c r="A6" s="676"/>
      <c r="B6" s="524"/>
      <c r="C6" s="494"/>
      <c r="D6" s="524"/>
      <c r="E6" s="494"/>
      <c r="F6" s="678"/>
      <c r="G6" s="536"/>
      <c r="H6" s="494"/>
      <c r="I6" s="496"/>
      <c r="J6" s="536"/>
      <c r="K6" s="494"/>
      <c r="L6" s="496"/>
      <c r="M6" s="536"/>
      <c r="N6" s="494"/>
      <c r="O6" s="496"/>
      <c r="P6" s="536"/>
      <c r="Q6" s="494"/>
      <c r="R6" s="496"/>
      <c r="S6" s="536"/>
      <c r="T6" s="494"/>
      <c r="U6" s="496"/>
      <c r="V6" s="536"/>
      <c r="W6" s="494"/>
      <c r="X6" s="496"/>
      <c r="Y6" s="536"/>
      <c r="Z6" s="494"/>
      <c r="AA6" s="496"/>
      <c r="AB6" s="536"/>
      <c r="AC6" s="494"/>
      <c r="AD6" s="496"/>
      <c r="AE6" s="536"/>
      <c r="AF6" s="494"/>
      <c r="AG6" s="496"/>
      <c r="AH6" s="536"/>
      <c r="AI6" s="494"/>
      <c r="AJ6" s="496"/>
      <c r="AK6" s="536"/>
      <c r="AL6" s="494"/>
      <c r="AM6" s="496"/>
      <c r="AN6" s="536"/>
      <c r="AO6" s="494"/>
      <c r="AP6" s="496"/>
      <c r="AQ6" s="536"/>
      <c r="AR6" s="494"/>
      <c r="AS6" s="496"/>
      <c r="AT6" s="536"/>
      <c r="AU6" s="494"/>
      <c r="AV6" s="496"/>
      <c r="AW6" s="536"/>
      <c r="AX6" s="513"/>
    </row>
    <row r="7" spans="1:50" ht="15" customHeight="1">
      <c r="A7" s="661" t="s">
        <v>28</v>
      </c>
      <c r="B7" s="592">
        <v>370</v>
      </c>
      <c r="C7" s="664">
        <v>2300016</v>
      </c>
      <c r="D7" s="598" t="s">
        <v>29</v>
      </c>
      <c r="E7" s="668" t="s">
        <v>30</v>
      </c>
      <c r="F7" s="289"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661"/>
      <c r="B8" s="592"/>
      <c r="C8" s="664"/>
      <c r="D8" s="598"/>
      <c r="E8" s="668"/>
      <c r="F8" s="289"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661"/>
      <c r="B9" s="592"/>
      <c r="C9" s="664"/>
      <c r="D9" s="598"/>
      <c r="E9" s="668"/>
      <c r="F9" s="289"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661"/>
      <c r="B10" s="592"/>
      <c r="C10" s="664"/>
      <c r="D10" s="598"/>
      <c r="E10" s="668"/>
      <c r="F10" s="289"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661"/>
      <c r="B11" s="592"/>
      <c r="C11" s="664"/>
      <c r="D11" s="598"/>
      <c r="E11" s="668"/>
      <c r="F11" s="289"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661"/>
      <c r="B12" s="592"/>
      <c r="C12" s="664"/>
      <c r="D12" s="598"/>
      <c r="E12" s="668"/>
      <c r="F12" s="289"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661"/>
      <c r="B13" s="592"/>
      <c r="C13" s="664"/>
      <c r="D13" s="598"/>
      <c r="E13" s="668"/>
      <c r="F13" s="289"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661"/>
      <c r="B14" s="592"/>
      <c r="C14" s="664"/>
      <c r="D14" s="598"/>
      <c r="E14" s="668"/>
      <c r="F14" s="289" t="s">
        <v>41</v>
      </c>
      <c r="G14" s="401">
        <v>200000</v>
      </c>
      <c r="H14" s="402">
        <f t="shared" si="0"/>
        <v>0</v>
      </c>
      <c r="I14" s="403">
        <v>200000</v>
      </c>
      <c r="J14" s="404">
        <v>200000</v>
      </c>
      <c r="K14" s="402">
        <f t="shared" si="1"/>
        <v>0</v>
      </c>
      <c r="L14" s="403">
        <v>200000</v>
      </c>
      <c r="M14" s="404">
        <v>200000</v>
      </c>
      <c r="N14" s="402">
        <f t="shared" si="2"/>
        <v>0</v>
      </c>
      <c r="O14" s="403">
        <v>200000</v>
      </c>
      <c r="P14" s="404">
        <v>200000</v>
      </c>
      <c r="Q14" s="402">
        <f t="shared" si="3"/>
        <v>0</v>
      </c>
      <c r="R14" s="403">
        <v>200000</v>
      </c>
      <c r="S14" s="404">
        <v>200000</v>
      </c>
      <c r="T14" s="402">
        <f t="shared" si="4"/>
        <v>0</v>
      </c>
      <c r="U14" s="403">
        <v>200000</v>
      </c>
      <c r="V14" s="404">
        <v>200000</v>
      </c>
      <c r="W14" s="402">
        <f t="shared" si="5"/>
        <v>0</v>
      </c>
      <c r="X14" s="403">
        <v>200000</v>
      </c>
      <c r="Y14" s="404">
        <v>200000</v>
      </c>
      <c r="Z14" s="402">
        <f t="shared" si="6"/>
        <v>0</v>
      </c>
      <c r="AA14" s="403">
        <v>200000</v>
      </c>
      <c r="AB14" s="404">
        <v>200000</v>
      </c>
      <c r="AC14" s="402">
        <f t="shared" si="7"/>
        <v>7029</v>
      </c>
      <c r="AD14" s="403">
        <v>192971</v>
      </c>
      <c r="AE14" s="404">
        <v>200000</v>
      </c>
      <c r="AF14" s="402">
        <f t="shared" si="8"/>
        <v>0</v>
      </c>
      <c r="AG14" s="403">
        <v>200000</v>
      </c>
      <c r="AH14" s="404">
        <v>200000</v>
      </c>
      <c r="AI14" s="402">
        <f>AH14-AJ14</f>
        <v>0</v>
      </c>
      <c r="AJ14" s="403">
        <v>200000</v>
      </c>
      <c r="AK14" s="404">
        <v>200000</v>
      </c>
      <c r="AL14" s="402">
        <f>AK14-AM14</f>
        <v>200000</v>
      </c>
      <c r="AM14" s="403"/>
      <c r="AN14" s="404">
        <v>200000</v>
      </c>
      <c r="AO14" s="402">
        <f>AN14-AP14</f>
        <v>200000</v>
      </c>
      <c r="AP14" s="403"/>
      <c r="AQ14" s="404">
        <v>200000</v>
      </c>
      <c r="AR14" s="402">
        <f>AQ14-AS14</f>
        <v>200000</v>
      </c>
      <c r="AS14" s="403"/>
      <c r="AT14" s="404">
        <v>200000</v>
      </c>
      <c r="AU14" s="402">
        <f>AT14-AV14</f>
        <v>200000</v>
      </c>
      <c r="AV14" s="403"/>
      <c r="AW14" s="3"/>
      <c r="AX14" s="7" t="s">
        <v>42</v>
      </c>
    </row>
    <row r="15" spans="1:50">
      <c r="A15" s="661"/>
      <c r="B15" s="592"/>
      <c r="C15" s="664"/>
      <c r="D15" s="598"/>
      <c r="E15" s="668"/>
      <c r="F15" s="289"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0">
        <f>AX13/AX8</f>
        <v>0.99609499999999995</v>
      </c>
    </row>
    <row r="16" spans="1:50" ht="15.6" customHeight="1">
      <c r="A16" s="662"/>
      <c r="B16" s="663"/>
      <c r="C16" s="665"/>
      <c r="D16" s="667"/>
      <c r="E16" s="669"/>
      <c r="F16" s="291" t="s">
        <v>44</v>
      </c>
      <c r="G16" s="292"/>
      <c r="H16" s="16">
        <f t="shared" si="0"/>
        <v>0</v>
      </c>
      <c r="I16" s="17"/>
      <c r="J16" s="8"/>
      <c r="K16" s="16">
        <f t="shared" si="1"/>
        <v>0</v>
      </c>
      <c r="L16" s="17"/>
      <c r="M16" s="8"/>
      <c r="N16" s="16">
        <f t="shared" si="2"/>
        <v>0</v>
      </c>
      <c r="O16" s="17"/>
      <c r="P16" s="293"/>
      <c r="Q16" s="294">
        <f t="shared" si="3"/>
        <v>0</v>
      </c>
      <c r="R16" s="295"/>
      <c r="S16" s="296"/>
      <c r="T16" s="297">
        <f t="shared" si="4"/>
        <v>0</v>
      </c>
      <c r="U16" s="298"/>
      <c r="V16" s="299"/>
      <c r="W16" s="297">
        <f t="shared" si="5"/>
        <v>0</v>
      </c>
      <c r="X16" s="298"/>
      <c r="Y16" s="299"/>
      <c r="Z16" s="297">
        <f t="shared" si="6"/>
        <v>0</v>
      </c>
      <c r="AA16" s="298"/>
      <c r="AB16" s="299"/>
      <c r="AC16" s="297">
        <f t="shared" si="7"/>
        <v>0</v>
      </c>
      <c r="AD16" s="298"/>
      <c r="AE16" s="299"/>
      <c r="AF16" s="297">
        <f t="shared" si="8"/>
        <v>0</v>
      </c>
      <c r="AG16" s="298"/>
      <c r="AH16" s="299"/>
      <c r="AI16" s="297">
        <f t="shared" si="9"/>
        <v>0</v>
      </c>
      <c r="AJ16" s="298"/>
      <c r="AK16" s="299"/>
      <c r="AL16" s="297">
        <f t="shared" si="10"/>
        <v>0</v>
      </c>
      <c r="AM16" s="298"/>
      <c r="AN16" s="299"/>
      <c r="AO16" s="297">
        <f t="shared" si="11"/>
        <v>0</v>
      </c>
      <c r="AP16" s="298"/>
      <c r="AQ16" s="299"/>
      <c r="AR16" s="297">
        <f t="shared" si="12"/>
        <v>0</v>
      </c>
      <c r="AS16" s="298"/>
      <c r="AT16" s="299"/>
      <c r="AU16" s="297">
        <f t="shared" si="15"/>
        <v>0</v>
      </c>
      <c r="AV16" s="298"/>
      <c r="AW16" s="300"/>
      <c r="AX16" s="65"/>
    </row>
    <row r="17" spans="1:50" ht="15.6" customHeight="1">
      <c r="A17" s="687" t="s">
        <v>18</v>
      </c>
      <c r="B17" s="688" t="s">
        <v>19</v>
      </c>
      <c r="C17" s="672" t="s">
        <v>20</v>
      </c>
      <c r="D17" s="688" t="s">
        <v>21</v>
      </c>
      <c r="E17" s="672" t="s">
        <v>22</v>
      </c>
      <c r="F17" s="689" t="s">
        <v>23</v>
      </c>
      <c r="G17" s="536" t="s">
        <v>24</v>
      </c>
      <c r="H17" s="494" t="s">
        <v>25</v>
      </c>
      <c r="I17" s="496" t="s">
        <v>26</v>
      </c>
      <c r="J17" s="536" t="s">
        <v>24</v>
      </c>
      <c r="K17" s="494" t="s">
        <v>25</v>
      </c>
      <c r="L17" s="496" t="s">
        <v>26</v>
      </c>
      <c r="M17" s="536" t="s">
        <v>24</v>
      </c>
      <c r="N17" s="494" t="s">
        <v>25</v>
      </c>
      <c r="O17" s="496" t="s">
        <v>26</v>
      </c>
      <c r="P17" s="536" t="s">
        <v>24</v>
      </c>
      <c r="Q17" s="494" t="s">
        <v>25</v>
      </c>
      <c r="R17" s="496" t="s">
        <v>26</v>
      </c>
      <c r="S17" s="536" t="s">
        <v>24</v>
      </c>
      <c r="T17" s="494" t="s">
        <v>25</v>
      </c>
      <c r="U17" s="496" t="s">
        <v>26</v>
      </c>
      <c r="V17" s="536" t="s">
        <v>24</v>
      </c>
      <c r="W17" s="494" t="s">
        <v>25</v>
      </c>
      <c r="X17" s="496" t="s">
        <v>26</v>
      </c>
      <c r="Y17" s="536" t="s">
        <v>24</v>
      </c>
      <c r="Z17" s="494" t="s">
        <v>25</v>
      </c>
      <c r="AA17" s="496" t="s">
        <v>26</v>
      </c>
      <c r="AB17" s="536" t="s">
        <v>24</v>
      </c>
      <c r="AC17" s="494" t="s">
        <v>25</v>
      </c>
      <c r="AD17" s="496" t="s">
        <v>26</v>
      </c>
      <c r="AE17" s="536" t="s">
        <v>24</v>
      </c>
      <c r="AF17" s="494" t="s">
        <v>25</v>
      </c>
      <c r="AG17" s="496" t="s">
        <v>26</v>
      </c>
      <c r="AH17" s="536" t="s">
        <v>24</v>
      </c>
      <c r="AI17" s="494" t="s">
        <v>25</v>
      </c>
      <c r="AJ17" s="496" t="s">
        <v>26</v>
      </c>
      <c r="AK17" s="536" t="s">
        <v>24</v>
      </c>
      <c r="AL17" s="494" t="s">
        <v>25</v>
      </c>
      <c r="AM17" s="496" t="s">
        <v>26</v>
      </c>
      <c r="AN17" s="536" t="s">
        <v>24</v>
      </c>
      <c r="AO17" s="494" t="s">
        <v>25</v>
      </c>
      <c r="AP17" s="496" t="s">
        <v>26</v>
      </c>
      <c r="AQ17" s="536" t="s">
        <v>24</v>
      </c>
      <c r="AR17" s="494" t="s">
        <v>25</v>
      </c>
      <c r="AS17" s="496" t="s">
        <v>26</v>
      </c>
      <c r="AT17" s="536" t="s">
        <v>24</v>
      </c>
      <c r="AU17" s="494" t="s">
        <v>25</v>
      </c>
      <c r="AV17" s="496" t="s">
        <v>26</v>
      </c>
      <c r="AW17" s="536" t="s">
        <v>24</v>
      </c>
      <c r="AX17" s="513" t="s">
        <v>27</v>
      </c>
    </row>
    <row r="18" spans="1:50" ht="15.6" customHeight="1">
      <c r="A18" s="676"/>
      <c r="B18" s="524"/>
      <c r="C18" s="494"/>
      <c r="D18" s="524"/>
      <c r="E18" s="494"/>
      <c r="F18" s="678"/>
      <c r="G18" s="536"/>
      <c r="H18" s="494"/>
      <c r="I18" s="496"/>
      <c r="J18" s="536"/>
      <c r="K18" s="494"/>
      <c r="L18" s="496"/>
      <c r="M18" s="536"/>
      <c r="N18" s="494"/>
      <c r="O18" s="496"/>
      <c r="P18" s="536"/>
      <c r="Q18" s="494"/>
      <c r="R18" s="496"/>
      <c r="S18" s="536"/>
      <c r="T18" s="494"/>
      <c r="U18" s="496"/>
      <c r="V18" s="536"/>
      <c r="W18" s="494"/>
      <c r="X18" s="496"/>
      <c r="Y18" s="536"/>
      <c r="Z18" s="494"/>
      <c r="AA18" s="496"/>
      <c r="AB18" s="536"/>
      <c r="AC18" s="494"/>
      <c r="AD18" s="496"/>
      <c r="AE18" s="536"/>
      <c r="AF18" s="494"/>
      <c r="AG18" s="496"/>
      <c r="AH18" s="536"/>
      <c r="AI18" s="494"/>
      <c r="AJ18" s="496"/>
      <c r="AK18" s="536"/>
      <c r="AL18" s="494"/>
      <c r="AM18" s="496"/>
      <c r="AN18" s="536"/>
      <c r="AO18" s="494"/>
      <c r="AP18" s="496"/>
      <c r="AQ18" s="536"/>
      <c r="AR18" s="494"/>
      <c r="AS18" s="496"/>
      <c r="AT18" s="536"/>
      <c r="AU18" s="494"/>
      <c r="AV18" s="496"/>
      <c r="AW18" s="536"/>
      <c r="AX18" s="513"/>
    </row>
    <row r="19" spans="1:50" ht="15.6" customHeight="1">
      <c r="A19" s="679" t="s">
        <v>45</v>
      </c>
      <c r="B19" s="613">
        <v>3364</v>
      </c>
      <c r="C19" s="680">
        <v>2401840</v>
      </c>
      <c r="D19" s="682" t="s">
        <v>46</v>
      </c>
      <c r="E19" s="684" t="s">
        <v>47</v>
      </c>
      <c r="F19" s="289"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679"/>
      <c r="B20" s="613"/>
      <c r="C20" s="680"/>
      <c r="D20" s="620"/>
      <c r="E20" s="685"/>
      <c r="F20" s="289"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4">
        <v>142733</v>
      </c>
      <c r="AI20" s="404">
        <f t="shared" si="25"/>
        <v>0</v>
      </c>
      <c r="AJ20" s="404">
        <v>142733</v>
      </c>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679"/>
      <c r="B21" s="613"/>
      <c r="C21" s="680"/>
      <c r="D21" s="620"/>
      <c r="E21" s="685"/>
      <c r="F21" s="289"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679"/>
      <c r="B22" s="613"/>
      <c r="C22" s="680"/>
      <c r="D22" s="620"/>
      <c r="E22" s="685"/>
      <c r="F22" s="289" t="s">
        <v>36</v>
      </c>
      <c r="G22" s="25"/>
      <c r="H22" s="11">
        <f t="shared" si="16"/>
        <v>0</v>
      </c>
      <c r="I22" s="12"/>
      <c r="J22" s="3"/>
      <c r="K22" s="11">
        <f t="shared" si="17"/>
        <v>0</v>
      </c>
      <c r="L22" s="12"/>
      <c r="M22" s="3"/>
      <c r="N22" s="11">
        <f t="shared" si="18"/>
        <v>0</v>
      </c>
      <c r="O22" s="12"/>
      <c r="P22" s="444"/>
      <c r="Q22" s="166"/>
      <c r="R22" s="167"/>
      <c r="S22" s="444"/>
      <c r="T22" s="166"/>
      <c r="U22" s="167"/>
      <c r="V22" s="3"/>
      <c r="W22" s="11">
        <f t="shared" si="21"/>
        <v>0</v>
      </c>
      <c r="X22" s="12"/>
      <c r="Y22" s="444"/>
      <c r="Z22" s="166"/>
      <c r="AA22" s="167"/>
      <c r="AB22" s="3"/>
      <c r="AC22" s="11">
        <f t="shared" si="23"/>
        <v>0</v>
      </c>
      <c r="AD22" s="12"/>
      <c r="AE22" s="3"/>
      <c r="AF22" s="11">
        <f t="shared" si="24"/>
        <v>0</v>
      </c>
      <c r="AG22" s="12"/>
      <c r="AH22" s="3"/>
      <c r="AI22" s="11">
        <f>AH22-AJ22</f>
        <v>0</v>
      </c>
      <c r="AJ22" s="12"/>
      <c r="AK22" s="444"/>
      <c r="AL22" s="166">
        <f t="shared" si="26"/>
        <v>0</v>
      </c>
      <c r="AM22" s="167"/>
      <c r="AN22" s="404">
        <v>500000</v>
      </c>
      <c r="AO22" s="402">
        <f t="shared" si="27"/>
        <v>500000</v>
      </c>
      <c r="AP22" s="403"/>
      <c r="AQ22" s="404">
        <v>500000</v>
      </c>
      <c r="AR22" s="402">
        <f t="shared" si="28"/>
        <v>500000</v>
      </c>
      <c r="AS22" s="403"/>
      <c r="AT22" s="3"/>
      <c r="AU22" s="11">
        <f t="shared" si="29"/>
        <v>0</v>
      </c>
      <c r="AV22" s="12"/>
      <c r="AW22" s="3"/>
      <c r="AX22" s="63">
        <f>SUM(H19:H28,K19:K28,N19:N28,Q19:Q28,T19:T28,W19:W28,Z19:Z28,AC19:AC28,Z19:Z28,AF19:AF28)</f>
        <v>0</v>
      </c>
    </row>
    <row r="23" spans="1:50" ht="15.6" customHeight="1">
      <c r="A23" s="679"/>
      <c r="B23" s="613"/>
      <c r="C23" s="680"/>
      <c r="D23" s="620"/>
      <c r="E23" s="685"/>
      <c r="F23" s="289"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4"/>
      <c r="AR23" s="11">
        <f t="shared" ref="AR23:AR28" si="31">AQ23-AS23</f>
        <v>0</v>
      </c>
      <c r="AS23" s="167"/>
      <c r="AT23" s="404">
        <v>500000</v>
      </c>
      <c r="AU23" s="402">
        <f t="shared" si="29"/>
        <v>500000</v>
      </c>
      <c r="AV23" s="403"/>
      <c r="AW23" s="3"/>
      <c r="AX23" s="7" t="s">
        <v>38</v>
      </c>
    </row>
    <row r="24" spans="1:50" ht="15.6" customHeight="1">
      <c r="A24" s="679"/>
      <c r="B24" s="613"/>
      <c r="C24" s="680"/>
      <c r="D24" s="620"/>
      <c r="E24" s="685"/>
      <c r="F24" s="289"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679"/>
      <c r="B25" s="613"/>
      <c r="C25" s="680"/>
      <c r="D25" s="620"/>
      <c r="E25" s="685"/>
      <c r="F25" s="289"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679"/>
      <c r="B26" s="613"/>
      <c r="C26" s="680"/>
      <c r="D26" s="620"/>
      <c r="E26" s="685"/>
      <c r="F26" s="289"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679"/>
      <c r="B27" s="613"/>
      <c r="C27" s="680"/>
      <c r="D27" s="620"/>
      <c r="E27" s="685"/>
      <c r="F27" s="289"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0" t="e">
        <f>AX25/AX20</f>
        <v>#DIV/0!</v>
      </c>
    </row>
    <row r="28" spans="1:50" ht="15.6" customHeight="1">
      <c r="A28" s="662"/>
      <c r="B28" s="663"/>
      <c r="C28" s="681"/>
      <c r="D28" s="683"/>
      <c r="E28" s="686"/>
      <c r="F28" s="291" t="s">
        <v>44</v>
      </c>
      <c r="G28" s="292"/>
      <c r="H28" s="16">
        <f t="shared" si="32"/>
        <v>0</v>
      </c>
      <c r="I28" s="17"/>
      <c r="J28" s="8"/>
      <c r="K28" s="16">
        <f t="shared" si="33"/>
        <v>0</v>
      </c>
      <c r="L28" s="17"/>
      <c r="M28" s="8"/>
      <c r="N28" s="16">
        <f t="shared" si="34"/>
        <v>0</v>
      </c>
      <c r="O28" s="17"/>
      <c r="P28" s="299"/>
      <c r="Q28" s="297">
        <f t="shared" si="35"/>
        <v>0</v>
      </c>
      <c r="R28" s="298"/>
      <c r="S28" s="299"/>
      <c r="T28" s="297">
        <f t="shared" si="36"/>
        <v>0</v>
      </c>
      <c r="U28" s="298"/>
      <c r="V28" s="299"/>
      <c r="W28" s="297">
        <f t="shared" si="37"/>
        <v>0</v>
      </c>
      <c r="X28" s="298"/>
      <c r="Y28" s="299"/>
      <c r="Z28" s="297">
        <f t="shared" si="38"/>
        <v>0</v>
      </c>
      <c r="AA28" s="298"/>
      <c r="AB28" s="299"/>
      <c r="AC28" s="297">
        <f t="shared" si="39"/>
        <v>0</v>
      </c>
      <c r="AD28" s="298"/>
      <c r="AE28" s="299"/>
      <c r="AF28" s="297">
        <f t="shared" si="40"/>
        <v>0</v>
      </c>
      <c r="AG28" s="298"/>
      <c r="AH28" s="299"/>
      <c r="AI28" s="297">
        <f t="shared" si="41"/>
        <v>0</v>
      </c>
      <c r="AJ28" s="298"/>
      <c r="AK28" s="299"/>
      <c r="AL28" s="297">
        <f t="shared" si="42"/>
        <v>0</v>
      </c>
      <c r="AM28" s="298"/>
      <c r="AN28" s="299"/>
      <c r="AO28" s="297">
        <f t="shared" si="43"/>
        <v>0</v>
      </c>
      <c r="AP28" s="298"/>
      <c r="AQ28" s="299"/>
      <c r="AR28" s="297">
        <f t="shared" si="31"/>
        <v>0</v>
      </c>
      <c r="AS28" s="298"/>
      <c r="AT28" s="299"/>
      <c r="AU28" s="297">
        <f t="shared" si="44"/>
        <v>0</v>
      </c>
      <c r="AV28" s="298"/>
      <c r="AW28" s="300"/>
      <c r="AX28" s="301"/>
    </row>
    <row r="29" spans="1:50" ht="15" customHeight="1">
      <c r="A29" s="687" t="s">
        <v>18</v>
      </c>
      <c r="B29" s="688" t="s">
        <v>19</v>
      </c>
      <c r="C29" s="672" t="s">
        <v>20</v>
      </c>
      <c r="D29" s="688" t="s">
        <v>21</v>
      </c>
      <c r="E29" s="672" t="s">
        <v>22</v>
      </c>
      <c r="F29" s="689" t="s">
        <v>23</v>
      </c>
      <c r="G29" s="536" t="s">
        <v>24</v>
      </c>
      <c r="H29" s="494" t="s">
        <v>25</v>
      </c>
      <c r="I29" s="496" t="s">
        <v>26</v>
      </c>
      <c r="J29" s="536" t="s">
        <v>24</v>
      </c>
      <c r="K29" s="494" t="s">
        <v>25</v>
      </c>
      <c r="L29" s="496" t="s">
        <v>26</v>
      </c>
      <c r="M29" s="536" t="s">
        <v>24</v>
      </c>
      <c r="N29" s="494" t="s">
        <v>25</v>
      </c>
      <c r="O29" s="496" t="s">
        <v>26</v>
      </c>
      <c r="P29" s="536" t="s">
        <v>24</v>
      </c>
      <c r="Q29" s="494" t="s">
        <v>25</v>
      </c>
      <c r="R29" s="496" t="s">
        <v>26</v>
      </c>
      <c r="S29" s="536" t="s">
        <v>24</v>
      </c>
      <c r="T29" s="494" t="s">
        <v>25</v>
      </c>
      <c r="U29" s="496" t="s">
        <v>26</v>
      </c>
      <c r="V29" s="536" t="s">
        <v>24</v>
      </c>
      <c r="W29" s="494" t="s">
        <v>25</v>
      </c>
      <c r="X29" s="496" t="s">
        <v>26</v>
      </c>
      <c r="Y29" s="536" t="s">
        <v>24</v>
      </c>
      <c r="Z29" s="494" t="s">
        <v>25</v>
      </c>
      <c r="AA29" s="496" t="s">
        <v>26</v>
      </c>
      <c r="AB29" s="536" t="s">
        <v>24</v>
      </c>
      <c r="AC29" s="494" t="s">
        <v>25</v>
      </c>
      <c r="AD29" s="496" t="s">
        <v>26</v>
      </c>
      <c r="AE29" s="536" t="s">
        <v>24</v>
      </c>
      <c r="AF29" s="494" t="s">
        <v>25</v>
      </c>
      <c r="AG29" s="496" t="s">
        <v>26</v>
      </c>
      <c r="AH29" s="536" t="s">
        <v>24</v>
      </c>
      <c r="AI29" s="494" t="s">
        <v>25</v>
      </c>
      <c r="AJ29" s="496" t="s">
        <v>26</v>
      </c>
      <c r="AK29" s="536" t="s">
        <v>24</v>
      </c>
      <c r="AL29" s="494" t="s">
        <v>25</v>
      </c>
      <c r="AM29" s="496" t="s">
        <v>26</v>
      </c>
      <c r="AN29" s="536" t="s">
        <v>24</v>
      </c>
      <c r="AO29" s="494" t="s">
        <v>25</v>
      </c>
      <c r="AP29" s="496" t="s">
        <v>26</v>
      </c>
      <c r="AQ29" s="536" t="s">
        <v>24</v>
      </c>
      <c r="AR29" s="494" t="s">
        <v>25</v>
      </c>
      <c r="AS29" s="496" t="s">
        <v>26</v>
      </c>
      <c r="AT29" s="536" t="s">
        <v>24</v>
      </c>
      <c r="AU29" s="494" t="s">
        <v>25</v>
      </c>
      <c r="AV29" s="496" t="s">
        <v>26</v>
      </c>
      <c r="AW29" s="536" t="s">
        <v>24</v>
      </c>
      <c r="AX29" s="513" t="s">
        <v>27</v>
      </c>
    </row>
    <row r="30" spans="1:50" ht="15" customHeight="1">
      <c r="A30" s="676"/>
      <c r="B30" s="524"/>
      <c r="C30" s="494"/>
      <c r="D30" s="524"/>
      <c r="E30" s="494"/>
      <c r="F30" s="678"/>
      <c r="G30" s="536"/>
      <c r="H30" s="494"/>
      <c r="I30" s="496"/>
      <c r="J30" s="536"/>
      <c r="K30" s="494"/>
      <c r="L30" s="496"/>
      <c r="M30" s="536"/>
      <c r="N30" s="494"/>
      <c r="O30" s="496"/>
      <c r="P30" s="536"/>
      <c r="Q30" s="494"/>
      <c r="R30" s="496"/>
      <c r="S30" s="536"/>
      <c r="T30" s="494"/>
      <c r="U30" s="496"/>
      <c r="V30" s="536"/>
      <c r="W30" s="494"/>
      <c r="X30" s="496"/>
      <c r="Y30" s="536"/>
      <c r="Z30" s="494"/>
      <c r="AA30" s="496"/>
      <c r="AB30" s="536"/>
      <c r="AC30" s="494"/>
      <c r="AD30" s="496"/>
      <c r="AE30" s="536"/>
      <c r="AF30" s="494"/>
      <c r="AG30" s="496"/>
      <c r="AH30" s="536"/>
      <c r="AI30" s="494"/>
      <c r="AJ30" s="496"/>
      <c r="AK30" s="536"/>
      <c r="AL30" s="494"/>
      <c r="AM30" s="496"/>
      <c r="AN30" s="536"/>
      <c r="AO30" s="494"/>
      <c r="AP30" s="496"/>
      <c r="AQ30" s="536"/>
      <c r="AR30" s="494"/>
      <c r="AS30" s="496"/>
      <c r="AT30" s="536"/>
      <c r="AU30" s="494"/>
      <c r="AV30" s="496"/>
      <c r="AW30" s="536"/>
      <c r="AX30" s="513"/>
    </row>
    <row r="31" spans="1:50" ht="15" customHeight="1">
      <c r="A31" s="679" t="s">
        <v>48</v>
      </c>
      <c r="B31" s="613">
        <v>2128</v>
      </c>
      <c r="C31" s="680">
        <v>1400550</v>
      </c>
      <c r="D31" s="619" t="s">
        <v>49</v>
      </c>
      <c r="E31" s="684" t="s">
        <v>50</v>
      </c>
      <c r="F31" s="289"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679"/>
      <c r="B32" s="613"/>
      <c r="C32" s="680"/>
      <c r="D32" s="619"/>
      <c r="E32" s="684"/>
      <c r="F32" s="289"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679"/>
      <c r="B33" s="613"/>
      <c r="C33" s="680"/>
      <c r="D33" s="619"/>
      <c r="E33" s="684"/>
      <c r="F33" s="289"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679"/>
      <c r="B34" s="613"/>
      <c r="C34" s="680"/>
      <c r="D34" s="619"/>
      <c r="E34" s="684"/>
      <c r="F34" s="289" t="s">
        <v>36</v>
      </c>
      <c r="G34" s="25"/>
      <c r="H34" s="11">
        <f t="shared" si="45"/>
        <v>0</v>
      </c>
      <c r="I34" s="12"/>
      <c r="J34" s="3"/>
      <c r="K34" s="11">
        <f t="shared" si="46"/>
        <v>0</v>
      </c>
      <c r="L34" s="12"/>
      <c r="M34" s="3"/>
      <c r="N34" s="11">
        <f t="shared" si="47"/>
        <v>0</v>
      </c>
      <c r="O34" s="12"/>
      <c r="P34" s="404">
        <v>384147</v>
      </c>
      <c r="Q34" s="402">
        <f t="shared" si="48"/>
        <v>76830</v>
      </c>
      <c r="R34" s="403">
        <v>307317</v>
      </c>
      <c r="S34" s="404">
        <v>300000</v>
      </c>
      <c r="T34" s="402">
        <f t="shared" si="49"/>
        <v>0</v>
      </c>
      <c r="U34" s="403">
        <v>300000</v>
      </c>
      <c r="V34" s="3"/>
      <c r="W34" s="11">
        <f t="shared" si="50"/>
        <v>0</v>
      </c>
      <c r="X34" s="12"/>
      <c r="Y34" s="404">
        <f>SUM(97465+52535)</f>
        <v>150000</v>
      </c>
      <c r="Z34" s="402">
        <f>Y34-AA34</f>
        <v>52535</v>
      </c>
      <c r="AA34" s="403">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679"/>
      <c r="B35" s="613"/>
      <c r="C35" s="680"/>
      <c r="D35" s="619"/>
      <c r="E35" s="684"/>
      <c r="F35" s="289"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679"/>
      <c r="B36" s="613"/>
      <c r="C36" s="680"/>
      <c r="D36" s="619"/>
      <c r="E36" s="684"/>
      <c r="F36" s="289"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7">
        <v>264937</v>
      </c>
      <c r="AF36" s="407">
        <f t="shared" si="53"/>
        <v>0</v>
      </c>
      <c r="AG36" s="407">
        <v>264937</v>
      </c>
      <c r="AH36" s="3"/>
      <c r="AI36" s="11"/>
      <c r="AJ36" s="12"/>
      <c r="AK36" s="3"/>
      <c r="AL36" s="11"/>
      <c r="AM36" s="12"/>
      <c r="AN36" s="3"/>
      <c r="AO36" s="11"/>
      <c r="AP36" s="12"/>
      <c r="AQ36" s="3"/>
      <c r="AR36" s="11"/>
      <c r="AS36" s="12"/>
      <c r="AT36" s="3"/>
      <c r="AU36" s="11"/>
      <c r="AV36" s="12"/>
      <c r="AW36" s="3"/>
      <c r="AX36" s="7"/>
    </row>
    <row r="37" spans="1:50">
      <c r="A37" s="679"/>
      <c r="B37" s="613"/>
      <c r="C37" s="680"/>
      <c r="D37" s="619"/>
      <c r="E37" s="684"/>
      <c r="F37" s="289"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679"/>
      <c r="B38" s="613"/>
      <c r="C38" s="680"/>
      <c r="D38" s="619"/>
      <c r="E38" s="684"/>
      <c r="F38" s="289"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679"/>
      <c r="B39" s="613"/>
      <c r="C39" s="680"/>
      <c r="D39" s="619"/>
      <c r="E39" s="684"/>
      <c r="F39" s="289"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0">
        <f>AX37/AX32</f>
        <v>0.88229744041401748</v>
      </c>
    </row>
    <row r="40" spans="1:50">
      <c r="A40" s="662"/>
      <c r="B40" s="663"/>
      <c r="C40" s="681"/>
      <c r="D40" s="667"/>
      <c r="E40" s="669"/>
      <c r="F40" s="291" t="s">
        <v>44</v>
      </c>
      <c r="G40" s="292"/>
      <c r="H40" s="16">
        <f t="shared" si="60"/>
        <v>0</v>
      </c>
      <c r="I40" s="17"/>
      <c r="J40" s="8"/>
      <c r="K40" s="16">
        <f t="shared" si="61"/>
        <v>0</v>
      </c>
      <c r="L40" s="17"/>
      <c r="M40" s="8"/>
      <c r="N40" s="16">
        <f t="shared" si="62"/>
        <v>0</v>
      </c>
      <c r="O40" s="17"/>
      <c r="P40" s="299"/>
      <c r="Q40" s="297">
        <f t="shared" si="63"/>
        <v>0</v>
      </c>
      <c r="R40" s="298"/>
      <c r="S40" s="299"/>
      <c r="T40" s="297">
        <f t="shared" si="64"/>
        <v>0</v>
      </c>
      <c r="U40" s="298"/>
      <c r="V40" s="299"/>
      <c r="W40" s="297">
        <f t="shared" si="65"/>
        <v>0</v>
      </c>
      <c r="X40" s="298"/>
      <c r="Y40" s="299"/>
      <c r="Z40" s="297">
        <f t="shared" si="66"/>
        <v>0</v>
      </c>
      <c r="AA40" s="298"/>
      <c r="AB40" s="299"/>
      <c r="AC40" s="297">
        <f t="shared" si="67"/>
        <v>0</v>
      </c>
      <c r="AD40" s="298"/>
      <c r="AE40" s="299"/>
      <c r="AF40" s="297">
        <f t="shared" si="73"/>
        <v>0</v>
      </c>
      <c r="AG40" s="298"/>
      <c r="AH40" s="299"/>
      <c r="AI40" s="297">
        <f t="shared" si="68"/>
        <v>0</v>
      </c>
      <c r="AJ40" s="298"/>
      <c r="AK40" s="299"/>
      <c r="AL40" s="297">
        <f t="shared" si="69"/>
        <v>0</v>
      </c>
      <c r="AM40" s="298"/>
      <c r="AN40" s="299"/>
      <c r="AO40" s="297">
        <f t="shared" si="70"/>
        <v>0</v>
      </c>
      <c r="AP40" s="298"/>
      <c r="AQ40" s="299"/>
      <c r="AR40" s="297">
        <f t="shared" si="71"/>
        <v>0</v>
      </c>
      <c r="AS40" s="298"/>
      <c r="AT40" s="299"/>
      <c r="AU40" s="297">
        <f t="shared" si="72"/>
        <v>0</v>
      </c>
      <c r="AV40" s="298"/>
      <c r="AW40" s="300"/>
      <c r="AX40" s="301"/>
    </row>
    <row r="41" spans="1:50" s="302" customFormat="1" ht="13.5" customHeight="1">
      <c r="A41" s="687" t="s">
        <v>18</v>
      </c>
      <c r="B41" s="688" t="s">
        <v>19</v>
      </c>
      <c r="C41" s="672" t="s">
        <v>20</v>
      </c>
      <c r="D41" s="688" t="s">
        <v>21</v>
      </c>
      <c r="E41" s="672" t="s">
        <v>22</v>
      </c>
      <c r="F41" s="689" t="s">
        <v>23</v>
      </c>
      <c r="G41" s="536" t="s">
        <v>24</v>
      </c>
      <c r="H41" s="494" t="s">
        <v>25</v>
      </c>
      <c r="I41" s="496" t="s">
        <v>26</v>
      </c>
      <c r="J41" s="536" t="s">
        <v>24</v>
      </c>
      <c r="K41" s="494" t="s">
        <v>25</v>
      </c>
      <c r="L41" s="496" t="s">
        <v>26</v>
      </c>
      <c r="M41" s="536" t="s">
        <v>24</v>
      </c>
      <c r="N41" s="494" t="s">
        <v>25</v>
      </c>
      <c r="O41" s="496" t="s">
        <v>26</v>
      </c>
      <c r="P41" s="536" t="s">
        <v>24</v>
      </c>
      <c r="Q41" s="494" t="s">
        <v>25</v>
      </c>
      <c r="R41" s="496" t="s">
        <v>26</v>
      </c>
      <c r="S41" s="536" t="s">
        <v>24</v>
      </c>
      <c r="T41" s="494" t="s">
        <v>25</v>
      </c>
      <c r="U41" s="496" t="s">
        <v>26</v>
      </c>
      <c r="V41" s="536" t="s">
        <v>24</v>
      </c>
      <c r="W41" s="494" t="s">
        <v>25</v>
      </c>
      <c r="X41" s="496" t="s">
        <v>26</v>
      </c>
      <c r="Y41" s="536" t="s">
        <v>24</v>
      </c>
      <c r="Z41" s="494" t="s">
        <v>25</v>
      </c>
      <c r="AA41" s="496" t="s">
        <v>26</v>
      </c>
      <c r="AB41" s="536" t="s">
        <v>24</v>
      </c>
      <c r="AC41" s="494" t="s">
        <v>25</v>
      </c>
      <c r="AD41" s="496" t="s">
        <v>26</v>
      </c>
      <c r="AE41" s="536" t="s">
        <v>24</v>
      </c>
      <c r="AF41" s="494" t="s">
        <v>25</v>
      </c>
      <c r="AG41" s="496" t="s">
        <v>26</v>
      </c>
      <c r="AH41" s="536" t="s">
        <v>24</v>
      </c>
      <c r="AI41" s="494" t="s">
        <v>25</v>
      </c>
      <c r="AJ41" s="496" t="s">
        <v>26</v>
      </c>
      <c r="AK41" s="536" t="s">
        <v>24</v>
      </c>
      <c r="AL41" s="494" t="s">
        <v>25</v>
      </c>
      <c r="AM41" s="496" t="s">
        <v>26</v>
      </c>
      <c r="AN41" s="536" t="s">
        <v>24</v>
      </c>
      <c r="AO41" s="494" t="s">
        <v>25</v>
      </c>
      <c r="AP41" s="496" t="s">
        <v>26</v>
      </c>
      <c r="AQ41" s="536" t="s">
        <v>24</v>
      </c>
      <c r="AR41" s="494" t="s">
        <v>25</v>
      </c>
      <c r="AS41" s="496" t="s">
        <v>26</v>
      </c>
      <c r="AT41" s="536" t="s">
        <v>24</v>
      </c>
      <c r="AU41" s="494" t="s">
        <v>25</v>
      </c>
      <c r="AV41" s="496" t="s">
        <v>26</v>
      </c>
      <c r="AW41" s="536" t="s">
        <v>24</v>
      </c>
      <c r="AX41" s="513" t="s">
        <v>27</v>
      </c>
    </row>
    <row r="42" spans="1:50" s="302" customFormat="1" ht="13.5" customHeight="1">
      <c r="A42" s="676"/>
      <c r="B42" s="524"/>
      <c r="C42" s="494"/>
      <c r="D42" s="524"/>
      <c r="E42" s="494"/>
      <c r="F42" s="678"/>
      <c r="G42" s="536"/>
      <c r="H42" s="494"/>
      <c r="I42" s="496"/>
      <c r="J42" s="536"/>
      <c r="K42" s="494"/>
      <c r="L42" s="496"/>
      <c r="M42" s="536"/>
      <c r="N42" s="494"/>
      <c r="O42" s="496"/>
      <c r="P42" s="536"/>
      <c r="Q42" s="494"/>
      <c r="R42" s="496"/>
      <c r="S42" s="536"/>
      <c r="T42" s="494"/>
      <c r="U42" s="496"/>
      <c r="V42" s="536"/>
      <c r="W42" s="494"/>
      <c r="X42" s="496"/>
      <c r="Y42" s="536"/>
      <c r="Z42" s="494"/>
      <c r="AA42" s="496"/>
      <c r="AB42" s="536"/>
      <c r="AC42" s="494"/>
      <c r="AD42" s="496"/>
      <c r="AE42" s="536"/>
      <c r="AF42" s="494"/>
      <c r="AG42" s="496"/>
      <c r="AH42" s="536"/>
      <c r="AI42" s="494"/>
      <c r="AJ42" s="496"/>
      <c r="AK42" s="536"/>
      <c r="AL42" s="494"/>
      <c r="AM42" s="496"/>
      <c r="AN42" s="536"/>
      <c r="AO42" s="494"/>
      <c r="AP42" s="496"/>
      <c r="AQ42" s="536"/>
      <c r="AR42" s="494"/>
      <c r="AS42" s="496"/>
      <c r="AT42" s="536"/>
      <c r="AU42" s="494"/>
      <c r="AV42" s="496"/>
      <c r="AW42" s="536"/>
      <c r="AX42" s="513"/>
    </row>
    <row r="43" spans="1:50" s="302" customFormat="1">
      <c r="A43" s="661" t="s">
        <v>51</v>
      </c>
      <c r="B43" s="592">
        <v>2549</v>
      </c>
      <c r="C43" s="664">
        <v>1802805</v>
      </c>
      <c r="D43" s="598" t="s">
        <v>52</v>
      </c>
      <c r="E43" s="668" t="s">
        <v>47</v>
      </c>
      <c r="F43" s="303"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2" customFormat="1" ht="13.5" customHeight="1">
      <c r="A44" s="661"/>
      <c r="B44" s="592"/>
      <c r="C44" s="664"/>
      <c r="D44" s="598"/>
      <c r="E44" s="668"/>
      <c r="F44" s="303" t="s">
        <v>33</v>
      </c>
      <c r="G44" s="25"/>
      <c r="H44" s="11">
        <f t="shared" si="74"/>
        <v>0</v>
      </c>
      <c r="I44" s="12"/>
      <c r="J44" s="3"/>
      <c r="K44" s="11">
        <f t="shared" si="75"/>
        <v>0</v>
      </c>
      <c r="L44" s="12"/>
      <c r="M44" s="3"/>
      <c r="N44" s="11">
        <f t="shared" si="76"/>
        <v>0</v>
      </c>
      <c r="O44" s="12"/>
      <c r="P44" s="405">
        <v>283500</v>
      </c>
      <c r="Q44" s="406">
        <f t="shared" si="77"/>
        <v>0</v>
      </c>
      <c r="R44" s="407">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2" customFormat="1" ht="13.5" customHeight="1">
      <c r="A45" s="661"/>
      <c r="B45" s="592"/>
      <c r="C45" s="664"/>
      <c r="D45" s="598"/>
      <c r="E45" s="668"/>
      <c r="F45" s="303"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2" customFormat="1" ht="13.5" customHeight="1">
      <c r="A46" s="661"/>
      <c r="B46" s="592"/>
      <c r="C46" s="664"/>
      <c r="D46" s="598"/>
      <c r="E46" s="668"/>
      <c r="F46" s="303"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5">
        <v>71720</v>
      </c>
      <c r="W46" s="406">
        <f t="shared" si="79"/>
        <v>0</v>
      </c>
      <c r="X46" s="407">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661"/>
      <c r="B47" s="592"/>
      <c r="C47" s="664"/>
      <c r="D47" s="598"/>
      <c r="E47" s="668"/>
      <c r="F47" s="303"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4"/>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661"/>
      <c r="B48" s="592"/>
      <c r="C48" s="664"/>
      <c r="D48" s="598"/>
      <c r="E48" s="668"/>
      <c r="F48" s="303" t="s">
        <v>39</v>
      </c>
      <c r="G48" s="25"/>
      <c r="H48" s="11"/>
      <c r="I48" s="12"/>
      <c r="J48" s="3"/>
      <c r="K48" s="11"/>
      <c r="L48" s="12"/>
      <c r="M48" s="3"/>
      <c r="N48" s="11"/>
      <c r="O48" s="12"/>
      <c r="P48" s="3"/>
      <c r="Q48" s="11"/>
      <c r="R48" s="12"/>
      <c r="S48" s="3"/>
      <c r="T48" s="11"/>
      <c r="U48" s="12"/>
      <c r="V48" s="3"/>
      <c r="W48" s="11"/>
      <c r="X48" s="12"/>
      <c r="Y48" s="221"/>
      <c r="Z48" s="11"/>
      <c r="AA48" s="221"/>
      <c r="AB48" s="405">
        <v>134029</v>
      </c>
      <c r="AC48" s="406">
        <f>AB48-AD48</f>
        <v>-95651</v>
      </c>
      <c r="AD48" s="407">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661"/>
      <c r="B49" s="592"/>
      <c r="C49" s="664"/>
      <c r="D49" s="598"/>
      <c r="E49" s="668"/>
      <c r="F49" s="303"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4"/>
      <c r="Z49" s="11">
        <f t="shared" si="80"/>
        <v>0</v>
      </c>
      <c r="AB49" s="405">
        <v>2147735</v>
      </c>
      <c r="AC49" s="406">
        <f>AB49-AD49</f>
        <v>145336</v>
      </c>
      <c r="AD49" s="407">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661"/>
      <c r="B50" s="592"/>
      <c r="C50" s="664"/>
      <c r="D50" s="598"/>
      <c r="E50" s="668"/>
      <c r="F50" s="303"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0">
        <f>AX49/AX44</f>
        <v>0.98115839914083669</v>
      </c>
    </row>
    <row r="51" spans="1:50" ht="13.5" customHeight="1">
      <c r="A51" s="662"/>
      <c r="B51" s="663"/>
      <c r="C51" s="665"/>
      <c r="D51" s="667"/>
      <c r="E51" s="669"/>
      <c r="F51" s="305" t="s">
        <v>44</v>
      </c>
      <c r="G51" s="292"/>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675" t="s">
        <v>18</v>
      </c>
      <c r="B52" s="491" t="s">
        <v>19</v>
      </c>
      <c r="C52" s="468" t="s">
        <v>20</v>
      </c>
      <c r="D52" s="491" t="s">
        <v>21</v>
      </c>
      <c r="E52" s="468" t="s">
        <v>22</v>
      </c>
      <c r="F52" s="677" t="s">
        <v>23</v>
      </c>
      <c r="G52" s="536" t="s">
        <v>24</v>
      </c>
      <c r="H52" s="494" t="s">
        <v>25</v>
      </c>
      <c r="I52" s="496" t="s">
        <v>26</v>
      </c>
      <c r="J52" s="536" t="s">
        <v>24</v>
      </c>
      <c r="K52" s="494" t="s">
        <v>25</v>
      </c>
      <c r="L52" s="496" t="s">
        <v>26</v>
      </c>
      <c r="M52" s="536" t="s">
        <v>24</v>
      </c>
      <c r="N52" s="494" t="s">
        <v>25</v>
      </c>
      <c r="O52" s="496" t="s">
        <v>26</v>
      </c>
      <c r="P52" s="536" t="s">
        <v>24</v>
      </c>
      <c r="Q52" s="494" t="s">
        <v>25</v>
      </c>
      <c r="R52" s="496" t="s">
        <v>26</v>
      </c>
      <c r="S52" s="536" t="s">
        <v>24</v>
      </c>
      <c r="T52" s="494" t="s">
        <v>25</v>
      </c>
      <c r="U52" s="496" t="s">
        <v>26</v>
      </c>
      <c r="V52" s="536" t="s">
        <v>24</v>
      </c>
      <c r="W52" s="494" t="s">
        <v>25</v>
      </c>
      <c r="X52" s="496" t="s">
        <v>26</v>
      </c>
      <c r="Y52" s="536" t="s">
        <v>24</v>
      </c>
      <c r="Z52" s="494" t="s">
        <v>25</v>
      </c>
      <c r="AA52" s="496" t="s">
        <v>26</v>
      </c>
      <c r="AB52" s="536" t="s">
        <v>24</v>
      </c>
      <c r="AC52" s="494" t="s">
        <v>25</v>
      </c>
      <c r="AD52" s="496" t="s">
        <v>26</v>
      </c>
      <c r="AE52" s="536" t="s">
        <v>24</v>
      </c>
      <c r="AF52" s="494" t="s">
        <v>25</v>
      </c>
      <c r="AG52" s="496" t="s">
        <v>26</v>
      </c>
      <c r="AH52" s="536" t="s">
        <v>24</v>
      </c>
      <c r="AI52" s="494" t="s">
        <v>25</v>
      </c>
      <c r="AJ52" s="496" t="s">
        <v>26</v>
      </c>
      <c r="AK52" s="536" t="s">
        <v>24</v>
      </c>
      <c r="AL52" s="494" t="s">
        <v>25</v>
      </c>
      <c r="AM52" s="496" t="s">
        <v>26</v>
      </c>
      <c r="AN52" s="536" t="s">
        <v>24</v>
      </c>
      <c r="AO52" s="494" t="s">
        <v>25</v>
      </c>
      <c r="AP52" s="496" t="s">
        <v>26</v>
      </c>
      <c r="AQ52" s="536" t="s">
        <v>24</v>
      </c>
      <c r="AR52" s="494" t="s">
        <v>25</v>
      </c>
      <c r="AS52" s="496" t="s">
        <v>26</v>
      </c>
      <c r="AT52" s="536" t="s">
        <v>24</v>
      </c>
      <c r="AU52" s="494" t="s">
        <v>25</v>
      </c>
      <c r="AV52" s="496" t="s">
        <v>26</v>
      </c>
      <c r="AW52" s="536" t="s">
        <v>24</v>
      </c>
      <c r="AX52" s="513" t="s">
        <v>27</v>
      </c>
    </row>
    <row r="53" spans="1:50" ht="13.5" customHeight="1">
      <c r="A53" s="676"/>
      <c r="B53" s="524"/>
      <c r="C53" s="494"/>
      <c r="D53" s="524"/>
      <c r="E53" s="494"/>
      <c r="F53" s="678"/>
      <c r="G53" s="536"/>
      <c r="H53" s="494"/>
      <c r="I53" s="496"/>
      <c r="J53" s="536"/>
      <c r="K53" s="494"/>
      <c r="L53" s="496"/>
      <c r="M53" s="536"/>
      <c r="N53" s="494"/>
      <c r="O53" s="496"/>
      <c r="P53" s="536"/>
      <c r="Q53" s="494"/>
      <c r="R53" s="496"/>
      <c r="S53" s="536"/>
      <c r="T53" s="494"/>
      <c r="U53" s="496"/>
      <c r="V53" s="536"/>
      <c r="W53" s="494"/>
      <c r="X53" s="496"/>
      <c r="Y53" s="536"/>
      <c r="Z53" s="494"/>
      <c r="AA53" s="496"/>
      <c r="AB53" s="536"/>
      <c r="AC53" s="494"/>
      <c r="AD53" s="496"/>
      <c r="AE53" s="536"/>
      <c r="AF53" s="494"/>
      <c r="AG53" s="496"/>
      <c r="AH53" s="536"/>
      <c r="AI53" s="494"/>
      <c r="AJ53" s="496"/>
      <c r="AK53" s="536"/>
      <c r="AL53" s="494"/>
      <c r="AM53" s="496"/>
      <c r="AN53" s="536"/>
      <c r="AO53" s="494"/>
      <c r="AP53" s="496"/>
      <c r="AQ53" s="536"/>
      <c r="AR53" s="494"/>
      <c r="AS53" s="496"/>
      <c r="AT53" s="536"/>
      <c r="AU53" s="494"/>
      <c r="AV53" s="496"/>
      <c r="AW53" s="536"/>
      <c r="AX53" s="513"/>
    </row>
    <row r="54" spans="1:50" ht="13.5" customHeight="1">
      <c r="A54" s="661" t="s">
        <v>53</v>
      </c>
      <c r="B54" s="592">
        <v>3367</v>
      </c>
      <c r="C54" s="664">
        <v>2401834</v>
      </c>
      <c r="D54" s="666" t="s">
        <v>54</v>
      </c>
      <c r="E54" s="668" t="s">
        <v>50</v>
      </c>
      <c r="F54" s="303"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661"/>
      <c r="B55" s="592"/>
      <c r="C55" s="664"/>
      <c r="D55" s="598"/>
      <c r="E55" s="668"/>
      <c r="F55" s="303" t="s">
        <v>33</v>
      </c>
      <c r="G55" s="25"/>
      <c r="H55" s="11">
        <f t="shared" si="92"/>
        <v>0</v>
      </c>
      <c r="I55" s="12"/>
      <c r="J55" s="3"/>
      <c r="K55" s="11">
        <f t="shared" si="93"/>
        <v>0</v>
      </c>
      <c r="L55" s="12"/>
      <c r="M55" s="3"/>
      <c r="N55" s="11">
        <f t="shared" si="94"/>
        <v>0</v>
      </c>
      <c r="O55" s="12"/>
      <c r="P55" s="3"/>
      <c r="Q55" s="11">
        <f t="shared" si="95"/>
        <v>0</v>
      </c>
      <c r="R55" s="12"/>
      <c r="S55" s="444"/>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661"/>
      <c r="B56" s="592"/>
      <c r="C56" s="664"/>
      <c r="D56" s="598"/>
      <c r="E56" s="668"/>
      <c r="F56" s="303"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661"/>
      <c r="B57" s="592"/>
      <c r="C57" s="664"/>
      <c r="D57" s="598"/>
      <c r="E57" s="668"/>
      <c r="F57" s="303"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4"/>
      <c r="AO57" s="166">
        <f t="shared" si="103"/>
        <v>0</v>
      </c>
      <c r="AP57" s="167"/>
      <c r="AQ57" s="405">
        <v>256460</v>
      </c>
      <c r="AR57" s="406">
        <f t="shared" si="104"/>
        <v>256460</v>
      </c>
      <c r="AS57" s="407"/>
      <c r="AT57" s="3"/>
      <c r="AU57" s="11">
        <f t="shared" si="105"/>
        <v>0</v>
      </c>
      <c r="AV57" s="12"/>
      <c r="AW57" s="3"/>
      <c r="AX57" s="63">
        <f>SUM(H54:H64,K54:K64,N54:N64,Q54:Q64,T54:T64,W54:W64,Z54:Z64,AC54:AC64,Z54:Z64,AF54:AF64)</f>
        <v>0</v>
      </c>
    </row>
    <row r="58" spans="1:50" ht="13.5" customHeight="1">
      <c r="A58" s="661"/>
      <c r="B58" s="592"/>
      <c r="C58" s="664"/>
      <c r="D58" s="598"/>
      <c r="E58" s="668"/>
      <c r="F58" s="303"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661"/>
      <c r="B59" s="592"/>
      <c r="C59" s="664"/>
      <c r="D59" s="598"/>
      <c r="E59" s="668"/>
      <c r="F59" s="303"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661"/>
      <c r="B60" s="592"/>
      <c r="C60" s="664"/>
      <c r="D60" s="598"/>
      <c r="E60" s="668"/>
      <c r="F60" s="303"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4"/>
      <c r="AU60" s="166">
        <f t="shared" si="105"/>
        <v>0</v>
      </c>
      <c r="AV60" s="167"/>
      <c r="AW60" s="3">
        <v>257620</v>
      </c>
      <c r="AX60" s="63"/>
    </row>
    <row r="61" spans="1:50" ht="13.5" customHeight="1">
      <c r="A61" s="661"/>
      <c r="B61" s="592"/>
      <c r="C61" s="664"/>
      <c r="D61" s="598"/>
      <c r="E61" s="668"/>
      <c r="F61" s="303"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4"/>
      <c r="AU61" s="166">
        <f t="shared" ref="AU61:AU64" si="111">AT61-AV61</f>
        <v>0</v>
      </c>
      <c r="AV61" s="167"/>
      <c r="AW61" s="3">
        <v>833320</v>
      </c>
      <c r="AX61" s="63"/>
    </row>
    <row r="62" spans="1:50" ht="13.5" customHeight="1">
      <c r="A62" s="661"/>
      <c r="B62" s="592"/>
      <c r="C62" s="664"/>
      <c r="D62" s="598"/>
      <c r="E62" s="668"/>
      <c r="F62" s="303"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661"/>
      <c r="B63" s="592"/>
      <c r="C63" s="664"/>
      <c r="D63" s="598"/>
      <c r="E63" s="668"/>
      <c r="F63" s="303"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4"/>
      <c r="Z63" s="444">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0" t="e">
        <f>AX59/AX55</f>
        <v>#DIV/0!</v>
      </c>
    </row>
    <row r="64" spans="1:50" ht="13.5" customHeight="1">
      <c r="A64" s="662"/>
      <c r="B64" s="663"/>
      <c r="C64" s="665"/>
      <c r="D64" s="667"/>
      <c r="E64" s="669"/>
      <c r="F64" s="305" t="s">
        <v>44</v>
      </c>
      <c r="G64" s="292"/>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2"/>
      <c r="AC64" s="16">
        <f t="shared" si="118"/>
        <v>0</v>
      </c>
      <c r="AD64" s="17"/>
      <c r="AE64" s="292"/>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2" customFormat="1" ht="13.5" customHeight="1">
      <c r="A65" s="687" t="s">
        <v>18</v>
      </c>
      <c r="B65" s="688" t="s">
        <v>19</v>
      </c>
      <c r="C65" s="672" t="s">
        <v>20</v>
      </c>
      <c r="D65" s="688" t="s">
        <v>21</v>
      </c>
      <c r="E65" s="672" t="s">
        <v>22</v>
      </c>
      <c r="F65" s="689" t="s">
        <v>23</v>
      </c>
      <c r="G65" s="536" t="s">
        <v>24</v>
      </c>
      <c r="H65" s="494" t="s">
        <v>25</v>
      </c>
      <c r="I65" s="496" t="s">
        <v>26</v>
      </c>
      <c r="J65" s="536" t="s">
        <v>24</v>
      </c>
      <c r="K65" s="494" t="s">
        <v>25</v>
      </c>
      <c r="L65" s="496" t="s">
        <v>26</v>
      </c>
      <c r="M65" s="536" t="s">
        <v>24</v>
      </c>
      <c r="N65" s="494" t="s">
        <v>25</v>
      </c>
      <c r="O65" s="496" t="s">
        <v>26</v>
      </c>
      <c r="P65" s="536" t="s">
        <v>24</v>
      </c>
      <c r="Q65" s="494" t="s">
        <v>25</v>
      </c>
      <c r="R65" s="496" t="s">
        <v>26</v>
      </c>
      <c r="S65" s="536" t="s">
        <v>24</v>
      </c>
      <c r="T65" s="494" t="s">
        <v>25</v>
      </c>
      <c r="U65" s="496" t="s">
        <v>26</v>
      </c>
      <c r="V65" s="536" t="s">
        <v>24</v>
      </c>
      <c r="W65" s="494" t="s">
        <v>25</v>
      </c>
      <c r="X65" s="496" t="s">
        <v>26</v>
      </c>
      <c r="Y65" s="536" t="s">
        <v>24</v>
      </c>
      <c r="Z65" s="494" t="s">
        <v>25</v>
      </c>
      <c r="AA65" s="496" t="s">
        <v>26</v>
      </c>
      <c r="AB65" s="536" t="s">
        <v>24</v>
      </c>
      <c r="AC65" s="494" t="s">
        <v>25</v>
      </c>
      <c r="AD65" s="496" t="s">
        <v>26</v>
      </c>
      <c r="AE65" s="536" t="s">
        <v>24</v>
      </c>
      <c r="AF65" s="494" t="s">
        <v>25</v>
      </c>
      <c r="AG65" s="496" t="s">
        <v>26</v>
      </c>
      <c r="AH65" s="536" t="s">
        <v>24</v>
      </c>
      <c r="AI65" s="494" t="s">
        <v>25</v>
      </c>
      <c r="AJ65" s="496" t="s">
        <v>26</v>
      </c>
      <c r="AK65" s="536" t="s">
        <v>24</v>
      </c>
      <c r="AL65" s="494" t="s">
        <v>25</v>
      </c>
      <c r="AM65" s="496" t="s">
        <v>26</v>
      </c>
      <c r="AN65" s="536" t="s">
        <v>24</v>
      </c>
      <c r="AO65" s="494" t="s">
        <v>25</v>
      </c>
      <c r="AP65" s="496" t="s">
        <v>26</v>
      </c>
      <c r="AQ65" s="536" t="s">
        <v>24</v>
      </c>
      <c r="AR65" s="494" t="s">
        <v>25</v>
      </c>
      <c r="AS65" s="496" t="s">
        <v>26</v>
      </c>
      <c r="AT65" s="536" t="s">
        <v>24</v>
      </c>
      <c r="AU65" s="494" t="s">
        <v>25</v>
      </c>
      <c r="AV65" s="496" t="s">
        <v>26</v>
      </c>
      <c r="AW65" s="536" t="s">
        <v>24</v>
      </c>
      <c r="AX65" s="513" t="s">
        <v>27</v>
      </c>
    </row>
    <row r="66" spans="1:50" s="302" customFormat="1" ht="13.5" customHeight="1">
      <c r="A66" s="676"/>
      <c r="B66" s="524"/>
      <c r="C66" s="494"/>
      <c r="D66" s="524"/>
      <c r="E66" s="494"/>
      <c r="F66" s="678"/>
      <c r="G66" s="536"/>
      <c r="H66" s="494"/>
      <c r="I66" s="496"/>
      <c r="J66" s="536"/>
      <c r="K66" s="494"/>
      <c r="L66" s="496"/>
      <c r="M66" s="536"/>
      <c r="N66" s="494"/>
      <c r="O66" s="496"/>
      <c r="P66" s="536"/>
      <c r="Q66" s="494"/>
      <c r="R66" s="496"/>
      <c r="S66" s="536"/>
      <c r="T66" s="494"/>
      <c r="U66" s="496"/>
      <c r="V66" s="536"/>
      <c r="W66" s="494"/>
      <c r="X66" s="496"/>
      <c r="Y66" s="536"/>
      <c r="Z66" s="494"/>
      <c r="AA66" s="496"/>
      <c r="AB66" s="536"/>
      <c r="AC66" s="494"/>
      <c r="AD66" s="496"/>
      <c r="AE66" s="536"/>
      <c r="AF66" s="494"/>
      <c r="AG66" s="496"/>
      <c r="AH66" s="536"/>
      <c r="AI66" s="494"/>
      <c r="AJ66" s="496"/>
      <c r="AK66" s="536"/>
      <c r="AL66" s="494"/>
      <c r="AM66" s="496"/>
      <c r="AN66" s="536"/>
      <c r="AO66" s="494"/>
      <c r="AP66" s="496"/>
      <c r="AQ66" s="536"/>
      <c r="AR66" s="494"/>
      <c r="AS66" s="496"/>
      <c r="AT66" s="536"/>
      <c r="AU66" s="494"/>
      <c r="AV66" s="496"/>
      <c r="AW66" s="536"/>
      <c r="AX66" s="513"/>
    </row>
    <row r="67" spans="1:50" s="302" customFormat="1">
      <c r="A67" s="661" t="s">
        <v>56</v>
      </c>
      <c r="B67" s="592">
        <v>3136</v>
      </c>
      <c r="C67" s="718">
        <v>2301550</v>
      </c>
      <c r="D67" s="598"/>
      <c r="E67" s="668" t="s">
        <v>57</v>
      </c>
      <c r="F67" s="303"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2" customFormat="1" ht="13.5" customHeight="1">
      <c r="A68" s="661"/>
      <c r="B68" s="592"/>
      <c r="C68" s="664"/>
      <c r="D68" s="598"/>
      <c r="E68" s="668"/>
      <c r="F68" s="303"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4"/>
      <c r="AF68" s="166">
        <f t="shared" si="128"/>
        <v>0</v>
      </c>
      <c r="AG68" s="167"/>
      <c r="AH68" s="405">
        <v>252000</v>
      </c>
      <c r="AI68" s="406">
        <f t="shared" si="129"/>
        <v>0</v>
      </c>
      <c r="AJ68" s="407">
        <v>252000</v>
      </c>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2" customFormat="1" ht="13.5" customHeight="1">
      <c r="A69" s="661"/>
      <c r="B69" s="592"/>
      <c r="C69" s="664"/>
      <c r="D69" s="598"/>
      <c r="E69" s="668"/>
      <c r="F69" s="303"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2" customFormat="1" ht="13.5" customHeight="1">
      <c r="A70" s="661"/>
      <c r="B70" s="592"/>
      <c r="C70" s="664"/>
      <c r="D70" s="598"/>
      <c r="E70" s="668"/>
      <c r="F70" s="303"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5">
        <v>400000</v>
      </c>
      <c r="AL70" s="406">
        <f t="shared" si="130"/>
        <v>400000</v>
      </c>
      <c r="AM70" s="407"/>
      <c r="AN70" s="444"/>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661"/>
      <c r="B71" s="592"/>
      <c r="C71" s="664"/>
      <c r="D71" s="598"/>
      <c r="E71" s="668"/>
      <c r="F71" s="303"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661"/>
      <c r="B72" s="592"/>
      <c r="C72" s="664"/>
      <c r="D72" s="598"/>
      <c r="E72" s="668"/>
      <c r="F72" s="303" t="s">
        <v>39</v>
      </c>
      <c r="G72" s="25"/>
      <c r="H72" s="11"/>
      <c r="I72" s="12"/>
      <c r="J72" s="3"/>
      <c r="K72" s="11"/>
      <c r="L72" s="12"/>
      <c r="M72" s="3"/>
      <c r="N72" s="11"/>
      <c r="O72" s="12"/>
      <c r="P72" s="3"/>
      <c r="Q72" s="11"/>
      <c r="R72" s="12"/>
      <c r="S72" s="3"/>
      <c r="T72" s="11"/>
      <c r="U72" s="12"/>
      <c r="V72" s="3"/>
      <c r="W72" s="11"/>
      <c r="X72" s="12"/>
      <c r="Y72" s="221"/>
      <c r="Z72" s="11"/>
      <c r="AA72" s="221"/>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661"/>
      <c r="B73" s="592"/>
      <c r="C73" s="664"/>
      <c r="D73" s="598"/>
      <c r="E73" s="668"/>
      <c r="F73" s="303"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4"/>
      <c r="AO73" s="166">
        <f t="shared" si="131"/>
        <v>0</v>
      </c>
      <c r="AP73" s="167"/>
      <c r="AQ73" s="405">
        <v>1932000</v>
      </c>
      <c r="AR73" s="405">
        <f t="shared" si="132"/>
        <v>1932000</v>
      </c>
      <c r="AS73" s="405"/>
      <c r="AT73" s="444"/>
      <c r="AU73" s="444"/>
      <c r="AV73" s="444"/>
      <c r="AW73" s="3"/>
      <c r="AX73" s="63">
        <f>SUM(I67:I75,L67:L75,O67:O75,R67:R75,U67:U75,X67:X75,AA67:AA75,AD67:AD75,AG67:AG75)</f>
        <v>0</v>
      </c>
    </row>
    <row r="74" spans="1:50" ht="13.5" customHeight="1">
      <c r="A74" s="661"/>
      <c r="B74" s="592"/>
      <c r="C74" s="664"/>
      <c r="D74" s="598"/>
      <c r="E74" s="668"/>
      <c r="F74" s="303"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0" t="e">
        <f>AX73/AX68</f>
        <v>#DIV/0!</v>
      </c>
    </row>
    <row r="75" spans="1:50" ht="13.5" customHeight="1">
      <c r="A75" s="662"/>
      <c r="B75" s="663"/>
      <c r="C75" s="665"/>
      <c r="D75" s="667"/>
      <c r="E75" s="669"/>
      <c r="F75" s="305" t="s">
        <v>44</v>
      </c>
      <c r="G75" s="292"/>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687" t="s">
        <v>18</v>
      </c>
      <c r="B76" s="688" t="s">
        <v>19</v>
      </c>
      <c r="C76" s="672" t="s">
        <v>20</v>
      </c>
      <c r="D76" s="688" t="s">
        <v>21</v>
      </c>
      <c r="E76" s="672" t="s">
        <v>22</v>
      </c>
      <c r="F76" s="689" t="s">
        <v>23</v>
      </c>
      <c r="G76" s="536" t="s">
        <v>24</v>
      </c>
      <c r="H76" s="494" t="s">
        <v>25</v>
      </c>
      <c r="I76" s="496" t="s">
        <v>26</v>
      </c>
      <c r="J76" s="536" t="s">
        <v>24</v>
      </c>
      <c r="K76" s="494" t="s">
        <v>25</v>
      </c>
      <c r="L76" s="496" t="s">
        <v>26</v>
      </c>
      <c r="M76" s="536" t="s">
        <v>24</v>
      </c>
      <c r="N76" s="494" t="s">
        <v>25</v>
      </c>
      <c r="O76" s="496" t="s">
        <v>26</v>
      </c>
      <c r="P76" s="536" t="s">
        <v>24</v>
      </c>
      <c r="Q76" s="494" t="s">
        <v>25</v>
      </c>
      <c r="R76" s="496" t="s">
        <v>26</v>
      </c>
      <c r="S76" s="536" t="s">
        <v>24</v>
      </c>
      <c r="T76" s="494" t="s">
        <v>25</v>
      </c>
      <c r="U76" s="496" t="s">
        <v>26</v>
      </c>
      <c r="V76" s="536" t="s">
        <v>24</v>
      </c>
      <c r="W76" s="494" t="s">
        <v>25</v>
      </c>
      <c r="X76" s="496" t="s">
        <v>26</v>
      </c>
      <c r="Y76" s="536" t="s">
        <v>24</v>
      </c>
      <c r="Z76" s="494" t="s">
        <v>25</v>
      </c>
      <c r="AA76" s="496" t="s">
        <v>26</v>
      </c>
      <c r="AB76" s="536" t="s">
        <v>24</v>
      </c>
      <c r="AC76" s="494" t="s">
        <v>25</v>
      </c>
      <c r="AD76" s="496" t="s">
        <v>26</v>
      </c>
      <c r="AE76" s="536" t="s">
        <v>24</v>
      </c>
      <c r="AF76" s="494" t="s">
        <v>25</v>
      </c>
      <c r="AG76" s="496" t="s">
        <v>26</v>
      </c>
      <c r="AH76" s="536" t="s">
        <v>24</v>
      </c>
      <c r="AI76" s="494" t="s">
        <v>25</v>
      </c>
      <c r="AJ76" s="496" t="s">
        <v>26</v>
      </c>
      <c r="AK76" s="536" t="s">
        <v>24</v>
      </c>
      <c r="AL76" s="494" t="s">
        <v>25</v>
      </c>
      <c r="AM76" s="496" t="s">
        <v>26</v>
      </c>
      <c r="AN76" s="536" t="s">
        <v>24</v>
      </c>
      <c r="AO76" s="494" t="s">
        <v>25</v>
      </c>
      <c r="AP76" s="496" t="s">
        <v>26</v>
      </c>
      <c r="AQ76" s="536" t="s">
        <v>24</v>
      </c>
      <c r="AR76" s="494" t="s">
        <v>25</v>
      </c>
      <c r="AS76" s="496" t="s">
        <v>26</v>
      </c>
      <c r="AT76" s="536" t="s">
        <v>24</v>
      </c>
      <c r="AU76" s="494" t="s">
        <v>25</v>
      </c>
      <c r="AV76" s="496" t="s">
        <v>26</v>
      </c>
      <c r="AW76" s="536" t="s">
        <v>24</v>
      </c>
      <c r="AX76" s="513" t="s">
        <v>27</v>
      </c>
    </row>
    <row r="77" spans="1:50" ht="15" customHeight="1">
      <c r="A77" s="676"/>
      <c r="B77" s="524"/>
      <c r="C77" s="494"/>
      <c r="D77" s="524"/>
      <c r="E77" s="494"/>
      <c r="F77" s="678"/>
      <c r="G77" s="536"/>
      <c r="H77" s="494"/>
      <c r="I77" s="496"/>
      <c r="J77" s="536"/>
      <c r="K77" s="494"/>
      <c r="L77" s="496"/>
      <c r="M77" s="536"/>
      <c r="N77" s="494"/>
      <c r="O77" s="496"/>
      <c r="P77" s="536"/>
      <c r="Q77" s="494"/>
      <c r="R77" s="496"/>
      <c r="S77" s="536"/>
      <c r="T77" s="494"/>
      <c r="U77" s="496"/>
      <c r="V77" s="536"/>
      <c r="W77" s="494"/>
      <c r="X77" s="496"/>
      <c r="Y77" s="536"/>
      <c r="Z77" s="494"/>
      <c r="AA77" s="496"/>
      <c r="AB77" s="536"/>
      <c r="AC77" s="494"/>
      <c r="AD77" s="496"/>
      <c r="AE77" s="536"/>
      <c r="AF77" s="494"/>
      <c r="AG77" s="496"/>
      <c r="AH77" s="536"/>
      <c r="AI77" s="494"/>
      <c r="AJ77" s="496"/>
      <c r="AK77" s="536"/>
      <c r="AL77" s="494"/>
      <c r="AM77" s="496"/>
      <c r="AN77" s="536"/>
      <c r="AO77" s="494"/>
      <c r="AP77" s="496"/>
      <c r="AQ77" s="536"/>
      <c r="AR77" s="494"/>
      <c r="AS77" s="496"/>
      <c r="AT77" s="536"/>
      <c r="AU77" s="494"/>
      <c r="AV77" s="496"/>
      <c r="AW77" s="536"/>
      <c r="AX77" s="513"/>
    </row>
    <row r="78" spans="1:50" ht="15" customHeight="1">
      <c r="A78" s="661" t="s">
        <v>58</v>
      </c>
      <c r="B78" s="592">
        <v>2389</v>
      </c>
      <c r="C78" s="710">
        <v>1700724</v>
      </c>
      <c r="D78" s="716" t="s">
        <v>59</v>
      </c>
      <c r="E78" s="668" t="s">
        <v>60</v>
      </c>
      <c r="F78" s="303"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661"/>
      <c r="B79" s="592"/>
      <c r="C79" s="710"/>
      <c r="D79" s="716"/>
      <c r="E79" s="668"/>
      <c r="F79" s="303"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661"/>
      <c r="B80" s="592"/>
      <c r="C80" s="710"/>
      <c r="D80" s="716"/>
      <c r="E80" s="668"/>
      <c r="F80" s="303"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661"/>
      <c r="B81" s="592"/>
      <c r="C81" s="710"/>
      <c r="D81" s="716"/>
      <c r="E81" s="668"/>
      <c r="F81" s="303" t="s">
        <v>36</v>
      </c>
      <c r="G81" s="25"/>
      <c r="H81" s="11">
        <f t="shared" si="137"/>
        <v>0</v>
      </c>
      <c r="I81" s="12"/>
      <c r="J81" s="3"/>
      <c r="K81" s="11">
        <f t="shared" si="138"/>
        <v>0</v>
      </c>
      <c r="L81" s="12"/>
      <c r="M81" s="3"/>
      <c r="N81" s="11">
        <f t="shared" si="139"/>
        <v>0</v>
      </c>
      <c r="O81" s="12"/>
      <c r="P81" s="3"/>
      <c r="Q81" s="11">
        <f t="shared" si="140"/>
        <v>0</v>
      </c>
      <c r="R81" s="12"/>
      <c r="S81" s="408">
        <v>850000</v>
      </c>
      <c r="T81" s="409">
        <f t="shared" si="141"/>
        <v>0</v>
      </c>
      <c r="U81" s="410">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661"/>
      <c r="B82" s="592"/>
      <c r="C82" s="710"/>
      <c r="D82" s="716"/>
      <c r="E82" s="668"/>
      <c r="F82" s="303"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661"/>
      <c r="B83" s="592"/>
      <c r="C83" s="710"/>
      <c r="D83" s="716"/>
      <c r="E83" s="668"/>
      <c r="F83" s="303"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661"/>
      <c r="B84" s="592"/>
      <c r="C84" s="710"/>
      <c r="D84" s="716"/>
      <c r="E84" s="668"/>
      <c r="F84" s="303"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08">
        <v>2108480</v>
      </c>
      <c r="Z84" s="409">
        <f t="shared" si="143"/>
        <v>0</v>
      </c>
      <c r="AA84" s="410">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661"/>
      <c r="B85" s="592"/>
      <c r="C85" s="710"/>
      <c r="D85" s="716"/>
      <c r="E85" s="668"/>
      <c r="F85" s="303"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661"/>
      <c r="B86" s="592"/>
      <c r="C86" s="710"/>
      <c r="D86" s="716"/>
      <c r="E86" s="668"/>
      <c r="F86" s="303"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0">
        <f>AX84/AX79</f>
        <v>1</v>
      </c>
    </row>
    <row r="87" spans="1:50">
      <c r="A87" s="662"/>
      <c r="B87" s="663"/>
      <c r="C87" s="681"/>
      <c r="D87" s="717"/>
      <c r="E87" s="669"/>
      <c r="F87" s="305" t="s">
        <v>44</v>
      </c>
      <c r="G87" s="292"/>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675" t="s">
        <v>18</v>
      </c>
      <c r="B88" s="491" t="s">
        <v>19</v>
      </c>
      <c r="C88" s="468" t="s">
        <v>20</v>
      </c>
      <c r="D88" s="491" t="s">
        <v>21</v>
      </c>
      <c r="E88" s="468" t="s">
        <v>22</v>
      </c>
      <c r="F88" s="677" t="s">
        <v>23</v>
      </c>
      <c r="G88" s="536" t="s">
        <v>24</v>
      </c>
      <c r="H88" s="494" t="s">
        <v>25</v>
      </c>
      <c r="I88" s="496" t="s">
        <v>26</v>
      </c>
      <c r="J88" s="536" t="s">
        <v>24</v>
      </c>
      <c r="K88" s="494" t="s">
        <v>25</v>
      </c>
      <c r="L88" s="496" t="s">
        <v>26</v>
      </c>
      <c r="M88" s="536" t="s">
        <v>24</v>
      </c>
      <c r="N88" s="494" t="s">
        <v>25</v>
      </c>
      <c r="O88" s="496" t="s">
        <v>26</v>
      </c>
      <c r="P88" s="536" t="s">
        <v>24</v>
      </c>
      <c r="Q88" s="494" t="s">
        <v>25</v>
      </c>
      <c r="R88" s="496" t="s">
        <v>26</v>
      </c>
      <c r="S88" s="536" t="s">
        <v>24</v>
      </c>
      <c r="T88" s="494" t="s">
        <v>25</v>
      </c>
      <c r="U88" s="496" t="s">
        <v>26</v>
      </c>
      <c r="V88" s="536" t="s">
        <v>24</v>
      </c>
      <c r="W88" s="494" t="s">
        <v>25</v>
      </c>
      <c r="X88" s="496" t="s">
        <v>26</v>
      </c>
      <c r="Y88" s="536" t="s">
        <v>24</v>
      </c>
      <c r="Z88" s="494" t="s">
        <v>25</v>
      </c>
      <c r="AA88" s="496" t="s">
        <v>26</v>
      </c>
      <c r="AB88" s="536" t="s">
        <v>24</v>
      </c>
      <c r="AC88" s="494" t="s">
        <v>25</v>
      </c>
      <c r="AD88" s="496" t="s">
        <v>26</v>
      </c>
      <c r="AE88" s="536" t="s">
        <v>24</v>
      </c>
      <c r="AF88" s="494" t="s">
        <v>25</v>
      </c>
      <c r="AG88" s="496" t="s">
        <v>26</v>
      </c>
      <c r="AH88" s="536" t="s">
        <v>24</v>
      </c>
      <c r="AI88" s="494" t="s">
        <v>25</v>
      </c>
      <c r="AJ88" s="496" t="s">
        <v>26</v>
      </c>
      <c r="AK88" s="536" t="s">
        <v>24</v>
      </c>
      <c r="AL88" s="494" t="s">
        <v>25</v>
      </c>
      <c r="AM88" s="496" t="s">
        <v>26</v>
      </c>
      <c r="AN88" s="536" t="s">
        <v>24</v>
      </c>
      <c r="AO88" s="494" t="s">
        <v>25</v>
      </c>
      <c r="AP88" s="496" t="s">
        <v>26</v>
      </c>
      <c r="AQ88" s="536" t="s">
        <v>24</v>
      </c>
      <c r="AR88" s="494" t="s">
        <v>25</v>
      </c>
      <c r="AS88" s="496" t="s">
        <v>26</v>
      </c>
      <c r="AT88" s="536" t="s">
        <v>24</v>
      </c>
      <c r="AU88" s="494" t="s">
        <v>25</v>
      </c>
      <c r="AV88" s="496" t="s">
        <v>26</v>
      </c>
      <c r="AW88" s="536" t="s">
        <v>24</v>
      </c>
      <c r="AX88" s="513" t="s">
        <v>27</v>
      </c>
    </row>
    <row r="89" spans="1:50" ht="30" customHeight="1">
      <c r="A89" s="676"/>
      <c r="B89" s="524"/>
      <c r="C89" s="494"/>
      <c r="D89" s="524"/>
      <c r="E89" s="494"/>
      <c r="F89" s="678"/>
      <c r="G89" s="536"/>
      <c r="H89" s="494"/>
      <c r="I89" s="496"/>
      <c r="J89" s="536"/>
      <c r="K89" s="494"/>
      <c r="L89" s="496"/>
      <c r="M89" s="536"/>
      <c r="N89" s="494"/>
      <c r="O89" s="496"/>
      <c r="P89" s="536"/>
      <c r="Q89" s="494"/>
      <c r="R89" s="496"/>
      <c r="S89" s="536"/>
      <c r="T89" s="494"/>
      <c r="U89" s="496"/>
      <c r="V89" s="536"/>
      <c r="W89" s="494"/>
      <c r="X89" s="496"/>
      <c r="Y89" s="536"/>
      <c r="Z89" s="494"/>
      <c r="AA89" s="496"/>
      <c r="AB89" s="536"/>
      <c r="AC89" s="494"/>
      <c r="AD89" s="496"/>
      <c r="AE89" s="536"/>
      <c r="AF89" s="494"/>
      <c r="AG89" s="496"/>
      <c r="AH89" s="536"/>
      <c r="AI89" s="494"/>
      <c r="AJ89" s="496"/>
      <c r="AK89" s="536"/>
      <c r="AL89" s="494"/>
      <c r="AM89" s="496"/>
      <c r="AN89" s="536"/>
      <c r="AO89" s="494"/>
      <c r="AP89" s="496"/>
      <c r="AQ89" s="536"/>
      <c r="AR89" s="494"/>
      <c r="AS89" s="496"/>
      <c r="AT89" s="536"/>
      <c r="AU89" s="494"/>
      <c r="AV89" s="496"/>
      <c r="AW89" s="536"/>
      <c r="AX89" s="513"/>
    </row>
    <row r="90" spans="1:50" ht="30" customHeight="1">
      <c r="A90" s="661" t="s">
        <v>61</v>
      </c>
      <c r="B90" s="592">
        <v>1558</v>
      </c>
      <c r="C90" s="710">
        <v>1700788</v>
      </c>
      <c r="D90" s="716" t="s">
        <v>62</v>
      </c>
      <c r="E90" s="668" t="s">
        <v>50</v>
      </c>
      <c r="F90" s="303"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661"/>
      <c r="B91" s="592"/>
      <c r="C91" s="710"/>
      <c r="D91" s="716"/>
      <c r="E91" s="668"/>
      <c r="F91" s="303" t="s">
        <v>33</v>
      </c>
      <c r="G91" s="25"/>
      <c r="H91" s="11">
        <f t="shared" si="152"/>
        <v>0</v>
      </c>
      <c r="I91" s="12"/>
      <c r="J91" s="3"/>
      <c r="K91" s="11">
        <f t="shared" si="153"/>
        <v>0</v>
      </c>
      <c r="L91" s="12"/>
      <c r="M91" s="3"/>
      <c r="N91" s="11">
        <f t="shared" si="154"/>
        <v>0</v>
      </c>
      <c r="O91" s="12"/>
      <c r="P91" s="408">
        <v>404420</v>
      </c>
      <c r="Q91" s="409">
        <f t="shared" si="155"/>
        <v>0</v>
      </c>
      <c r="R91" s="410">
        <v>404420</v>
      </c>
      <c r="S91" s="3"/>
      <c r="T91" s="11">
        <f t="shared" si="156"/>
        <v>0</v>
      </c>
      <c r="U91" s="12"/>
      <c r="V91" s="3"/>
      <c r="W91" s="11">
        <f t="shared" si="157"/>
        <v>0</v>
      </c>
      <c r="X91" s="12"/>
      <c r="Y91" s="3"/>
      <c r="Z91" s="11">
        <f t="shared" si="158"/>
        <v>0</v>
      </c>
      <c r="AA91" s="12"/>
      <c r="AB91" s="408">
        <v>202688</v>
      </c>
      <c r="AC91" s="409">
        <f t="shared" si="159"/>
        <v>0</v>
      </c>
      <c r="AD91" s="410">
        <v>202688</v>
      </c>
      <c r="AE91" s="3"/>
      <c r="AF91" s="11">
        <f t="shared" si="160"/>
        <v>0</v>
      </c>
      <c r="AG91" s="12"/>
      <c r="AH91" s="3"/>
      <c r="AI91" s="11">
        <f t="shared" si="161"/>
        <v>0</v>
      </c>
      <c r="AJ91" s="12"/>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661"/>
      <c r="B92" s="592"/>
      <c r="C92" s="710"/>
      <c r="D92" s="716"/>
      <c r="E92" s="668"/>
      <c r="F92" s="303"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661"/>
      <c r="B93" s="592"/>
      <c r="C93" s="710"/>
      <c r="D93" s="716"/>
      <c r="E93" s="668"/>
      <c r="F93" s="303"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08">
        <v>997312</v>
      </c>
      <c r="AC93" s="409">
        <f>AB93-AD93</f>
        <v>0</v>
      </c>
      <c r="AD93" s="410">
        <v>997312</v>
      </c>
      <c r="AE93" s="408"/>
      <c r="AF93" s="409">
        <f t="shared" si="160"/>
        <v>0</v>
      </c>
      <c r="AG93" s="410"/>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661"/>
      <c r="B94" s="592"/>
      <c r="C94" s="710"/>
      <c r="D94" s="716"/>
      <c r="E94" s="668"/>
      <c r="F94" s="303"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661"/>
      <c r="B95" s="592"/>
      <c r="C95" s="710"/>
      <c r="D95" s="716"/>
      <c r="E95" s="668"/>
      <c r="F95" s="303" t="s">
        <v>39</v>
      </c>
      <c r="G95" s="25"/>
      <c r="H95" s="11"/>
      <c r="I95" s="12"/>
      <c r="J95" s="3"/>
      <c r="K95" s="11"/>
      <c r="L95" s="12"/>
      <c r="M95" s="3"/>
      <c r="N95" s="11"/>
      <c r="O95" s="12"/>
      <c r="P95" s="3"/>
      <c r="Q95" s="11"/>
      <c r="R95" s="12"/>
      <c r="S95" s="3"/>
      <c r="T95" s="11"/>
      <c r="U95" s="12"/>
      <c r="V95" s="3"/>
      <c r="W95" s="11"/>
      <c r="X95" s="12"/>
      <c r="Y95" s="3"/>
      <c r="Z95" s="11"/>
      <c r="AA95" s="12"/>
      <c r="AB95" s="221"/>
      <c r="AC95" s="11"/>
      <c r="AD95" s="221"/>
      <c r="AE95" s="3"/>
      <c r="AF95" s="11"/>
      <c r="AG95" s="12"/>
      <c r="AH95" s="408">
        <v>675891</v>
      </c>
      <c r="AI95" s="409">
        <f t="shared" si="166"/>
        <v>0</v>
      </c>
      <c r="AJ95" s="410">
        <f>667891+8000</f>
        <v>675891</v>
      </c>
      <c r="AK95" s="3"/>
      <c r="AL95" s="11"/>
      <c r="AM95" s="12"/>
      <c r="AN95" s="3"/>
      <c r="AO95" s="11"/>
      <c r="AP95" s="12"/>
      <c r="AQ95" s="3"/>
      <c r="AR95" s="11"/>
      <c r="AS95" s="12"/>
      <c r="AT95" s="3"/>
      <c r="AU95" s="11"/>
      <c r="AV95" s="12"/>
      <c r="AW95" s="3"/>
      <c r="AX95" s="7"/>
    </row>
    <row r="96" spans="1:50">
      <c r="A96" s="661"/>
      <c r="B96" s="592"/>
      <c r="C96" s="710"/>
      <c r="D96" s="716"/>
      <c r="E96" s="668"/>
      <c r="F96" s="303"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08">
        <v>5632428</v>
      </c>
      <c r="AI96" s="409">
        <f t="shared" ref="AI96" si="167">AH96-AJ96</f>
        <v>0</v>
      </c>
      <c r="AJ96" s="410">
        <v>5632428</v>
      </c>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661"/>
      <c r="B97" s="592"/>
      <c r="C97" s="710"/>
      <c r="D97" s="716"/>
      <c r="E97" s="668"/>
      <c r="F97" s="303"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661"/>
      <c r="B98" s="592"/>
      <c r="C98" s="710"/>
      <c r="D98" s="716"/>
      <c r="E98" s="668"/>
      <c r="F98" s="303"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0">
        <f>AX96/AX91</f>
        <v>1</v>
      </c>
    </row>
    <row r="99" spans="1:50">
      <c r="A99" s="662"/>
      <c r="B99" s="663"/>
      <c r="C99" s="681"/>
      <c r="D99" s="717"/>
      <c r="E99" s="669"/>
      <c r="F99" s="305" t="s">
        <v>44</v>
      </c>
      <c r="G99" s="292"/>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299"/>
      <c r="AL99" s="297">
        <f t="shared" si="162"/>
        <v>0</v>
      </c>
      <c r="AM99" s="298"/>
      <c r="AN99" s="299"/>
      <c r="AO99" s="297">
        <f t="shared" si="163"/>
        <v>0</v>
      </c>
      <c r="AP99" s="298"/>
      <c r="AQ99" s="299"/>
      <c r="AR99" s="297">
        <f t="shared" si="164"/>
        <v>0</v>
      </c>
      <c r="AS99" s="298"/>
      <c r="AT99" s="299"/>
      <c r="AU99" s="297">
        <f t="shared" si="168"/>
        <v>0</v>
      </c>
      <c r="AV99" s="298"/>
      <c r="AW99" s="8"/>
      <c r="AX99" s="65"/>
    </row>
    <row r="100" spans="1:50">
      <c r="A100" s="687" t="s">
        <v>18</v>
      </c>
      <c r="B100" s="688" t="s">
        <v>19</v>
      </c>
      <c r="C100" s="672" t="s">
        <v>20</v>
      </c>
      <c r="D100" s="688" t="s">
        <v>21</v>
      </c>
      <c r="E100" s="672" t="s">
        <v>22</v>
      </c>
      <c r="F100" s="689" t="s">
        <v>23</v>
      </c>
      <c r="G100" s="536" t="s">
        <v>24</v>
      </c>
      <c r="H100" s="494" t="s">
        <v>25</v>
      </c>
      <c r="I100" s="496" t="s">
        <v>26</v>
      </c>
      <c r="J100" s="536" t="s">
        <v>24</v>
      </c>
      <c r="K100" s="494" t="s">
        <v>25</v>
      </c>
      <c r="L100" s="496" t="s">
        <v>26</v>
      </c>
      <c r="M100" s="536" t="s">
        <v>24</v>
      </c>
      <c r="N100" s="494" t="s">
        <v>25</v>
      </c>
      <c r="O100" s="496" t="s">
        <v>26</v>
      </c>
      <c r="P100" s="536" t="s">
        <v>24</v>
      </c>
      <c r="Q100" s="494" t="s">
        <v>25</v>
      </c>
      <c r="R100" s="496" t="s">
        <v>26</v>
      </c>
      <c r="S100" s="536" t="s">
        <v>24</v>
      </c>
      <c r="T100" s="494" t="s">
        <v>25</v>
      </c>
      <c r="U100" s="496" t="s">
        <v>26</v>
      </c>
      <c r="V100" s="536" t="s">
        <v>24</v>
      </c>
      <c r="W100" s="494" t="s">
        <v>25</v>
      </c>
      <c r="X100" s="496" t="s">
        <v>26</v>
      </c>
      <c r="Y100" s="536" t="s">
        <v>24</v>
      </c>
      <c r="Z100" s="494" t="s">
        <v>25</v>
      </c>
      <c r="AA100" s="496" t="s">
        <v>26</v>
      </c>
      <c r="AB100" s="536" t="s">
        <v>24</v>
      </c>
      <c r="AC100" s="494" t="s">
        <v>25</v>
      </c>
      <c r="AD100" s="496" t="s">
        <v>26</v>
      </c>
      <c r="AE100" s="536" t="s">
        <v>24</v>
      </c>
      <c r="AF100" s="494" t="s">
        <v>25</v>
      </c>
      <c r="AG100" s="496" t="s">
        <v>26</v>
      </c>
      <c r="AH100" s="536" t="s">
        <v>24</v>
      </c>
      <c r="AI100" s="494" t="s">
        <v>25</v>
      </c>
      <c r="AJ100" s="496" t="s">
        <v>26</v>
      </c>
      <c r="AK100" s="536" t="s">
        <v>24</v>
      </c>
      <c r="AL100" s="494" t="s">
        <v>25</v>
      </c>
      <c r="AM100" s="496" t="s">
        <v>26</v>
      </c>
      <c r="AN100" s="536" t="s">
        <v>24</v>
      </c>
      <c r="AO100" s="494" t="s">
        <v>25</v>
      </c>
      <c r="AP100" s="496" t="s">
        <v>26</v>
      </c>
      <c r="AQ100" s="536" t="s">
        <v>24</v>
      </c>
      <c r="AR100" s="494" t="s">
        <v>25</v>
      </c>
      <c r="AS100" s="496" t="s">
        <v>26</v>
      </c>
      <c r="AT100" s="536" t="s">
        <v>24</v>
      </c>
      <c r="AU100" s="494" t="s">
        <v>25</v>
      </c>
      <c r="AV100" s="496" t="s">
        <v>26</v>
      </c>
      <c r="AW100" s="536" t="s">
        <v>24</v>
      </c>
      <c r="AX100" s="513" t="s">
        <v>27</v>
      </c>
    </row>
    <row r="101" spans="1:50">
      <c r="A101" s="676"/>
      <c r="B101" s="524"/>
      <c r="C101" s="494"/>
      <c r="D101" s="524"/>
      <c r="E101" s="494"/>
      <c r="F101" s="678"/>
      <c r="G101" s="536"/>
      <c r="H101" s="494"/>
      <c r="I101" s="496"/>
      <c r="J101" s="536"/>
      <c r="K101" s="494"/>
      <c r="L101" s="496"/>
      <c r="M101" s="536"/>
      <c r="N101" s="494"/>
      <c r="O101" s="496"/>
      <c r="P101" s="536"/>
      <c r="Q101" s="494"/>
      <c r="R101" s="496"/>
      <c r="S101" s="536"/>
      <c r="T101" s="494"/>
      <c r="U101" s="496"/>
      <c r="V101" s="536"/>
      <c r="W101" s="494"/>
      <c r="X101" s="496"/>
      <c r="Y101" s="536"/>
      <c r="Z101" s="494"/>
      <c r="AA101" s="496"/>
      <c r="AB101" s="536"/>
      <c r="AC101" s="494"/>
      <c r="AD101" s="496"/>
      <c r="AE101" s="536"/>
      <c r="AF101" s="494"/>
      <c r="AG101" s="496"/>
      <c r="AH101" s="536"/>
      <c r="AI101" s="494"/>
      <c r="AJ101" s="496"/>
      <c r="AK101" s="536"/>
      <c r="AL101" s="494"/>
      <c r="AM101" s="496"/>
      <c r="AN101" s="536"/>
      <c r="AO101" s="494"/>
      <c r="AP101" s="496"/>
      <c r="AQ101" s="536"/>
      <c r="AR101" s="494"/>
      <c r="AS101" s="496"/>
      <c r="AT101" s="536"/>
      <c r="AU101" s="494"/>
      <c r="AV101" s="496"/>
      <c r="AW101" s="536"/>
      <c r="AX101" s="513"/>
    </row>
    <row r="102" spans="1:50" ht="30" customHeight="1">
      <c r="A102" s="661" t="s">
        <v>63</v>
      </c>
      <c r="B102" s="592">
        <v>2392</v>
      </c>
      <c r="C102" s="710">
        <v>1700730</v>
      </c>
      <c r="D102" s="716" t="s">
        <v>64</v>
      </c>
      <c r="E102" s="668" t="s">
        <v>57</v>
      </c>
      <c r="F102" s="303"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661"/>
      <c r="B103" s="592"/>
      <c r="C103" s="710"/>
      <c r="D103" s="716"/>
      <c r="E103" s="668"/>
      <c r="F103" s="303" t="s">
        <v>33</v>
      </c>
      <c r="G103" s="25"/>
      <c r="H103" s="11">
        <f t="shared" si="170"/>
        <v>0</v>
      </c>
      <c r="I103" s="12"/>
      <c r="J103" s="3"/>
      <c r="K103" s="11">
        <f t="shared" si="171"/>
        <v>0</v>
      </c>
      <c r="L103" s="12"/>
      <c r="M103" s="408">
        <v>173600</v>
      </c>
      <c r="N103" s="409">
        <f t="shared" si="172"/>
        <v>0</v>
      </c>
      <c r="O103" s="410">
        <v>173600</v>
      </c>
      <c r="P103" s="408">
        <v>46450</v>
      </c>
      <c r="Q103" s="409">
        <f t="shared" si="173"/>
        <v>0</v>
      </c>
      <c r="R103" s="410">
        <v>46450</v>
      </c>
      <c r="S103" s="408">
        <v>22314</v>
      </c>
      <c r="T103" s="409">
        <f t="shared" si="174"/>
        <v>0</v>
      </c>
      <c r="U103" s="410">
        <v>22314</v>
      </c>
      <c r="V103" s="3"/>
      <c r="W103" s="11">
        <f t="shared" si="175"/>
        <v>0</v>
      </c>
      <c r="X103" s="12"/>
      <c r="Y103" s="408">
        <f>SUM(22547+12153)</f>
        <v>34700</v>
      </c>
      <c r="Z103" s="409">
        <f>Y103-AA103</f>
        <v>0</v>
      </c>
      <c r="AA103" s="410">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661"/>
      <c r="B104" s="592"/>
      <c r="C104" s="710"/>
      <c r="D104" s="716"/>
      <c r="E104" s="668"/>
      <c r="F104" s="303"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661"/>
      <c r="B105" s="592"/>
      <c r="C105" s="710"/>
      <c r="D105" s="716"/>
      <c r="E105" s="668"/>
      <c r="F105" s="303"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661"/>
      <c r="B106" s="592"/>
      <c r="C106" s="710"/>
      <c r="D106" s="716"/>
      <c r="E106" s="668"/>
      <c r="F106" s="303"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661"/>
      <c r="B107" s="592"/>
      <c r="C107" s="710"/>
      <c r="D107" s="716"/>
      <c r="E107" s="668"/>
      <c r="F107" s="303" t="s">
        <v>39</v>
      </c>
      <c r="G107" s="25"/>
      <c r="H107" s="11"/>
      <c r="I107" s="12"/>
      <c r="J107" s="3"/>
      <c r="K107" s="11"/>
      <c r="L107" s="12"/>
      <c r="M107" s="3"/>
      <c r="N107" s="11"/>
      <c r="O107" s="12"/>
      <c r="P107" s="3"/>
      <c r="Q107" s="11"/>
      <c r="R107" s="12"/>
      <c r="S107" s="3"/>
      <c r="T107" s="11"/>
      <c r="U107" s="12"/>
      <c r="V107" s="3"/>
      <c r="W107" s="11"/>
      <c r="X107" s="12"/>
      <c r="Y107" s="3"/>
      <c r="Z107" s="11"/>
      <c r="AA107" s="221"/>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661"/>
      <c r="B108" s="592"/>
      <c r="C108" s="710"/>
      <c r="D108" s="716"/>
      <c r="E108" s="668"/>
      <c r="F108" s="303"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08">
        <v>3956981</v>
      </c>
      <c r="W108" s="409">
        <f t="shared" si="175"/>
        <v>0</v>
      </c>
      <c r="X108" s="410">
        <v>3956981</v>
      </c>
      <c r="Y108" s="408">
        <v>748324</v>
      </c>
      <c r="Z108" s="409">
        <f t="shared" si="176"/>
        <v>0</v>
      </c>
      <c r="AA108" s="408">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661"/>
      <c r="B109" s="592"/>
      <c r="C109" s="710"/>
      <c r="D109" s="716"/>
      <c r="E109" s="668"/>
      <c r="F109" s="303"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661"/>
      <c r="B110" s="592"/>
      <c r="C110" s="710"/>
      <c r="D110" s="716"/>
      <c r="E110" s="668"/>
      <c r="F110" s="303"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661"/>
      <c r="B111" s="592"/>
      <c r="C111" s="710"/>
      <c r="D111" s="716"/>
      <c r="E111" s="668"/>
      <c r="F111" s="303"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0">
        <f>AX108/AX103</f>
        <v>1</v>
      </c>
    </row>
    <row r="112" spans="1:50">
      <c r="A112" s="662"/>
      <c r="B112" s="663"/>
      <c r="C112" s="681"/>
      <c r="D112" s="717"/>
      <c r="E112" s="669"/>
      <c r="F112" s="305" t="s">
        <v>44</v>
      </c>
      <c r="G112" s="292"/>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2"/>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687" t="s">
        <v>18</v>
      </c>
      <c r="B113" s="688" t="s">
        <v>19</v>
      </c>
      <c r="C113" s="672" t="s">
        <v>20</v>
      </c>
      <c r="D113" s="688" t="s">
        <v>21</v>
      </c>
      <c r="E113" s="672" t="s">
        <v>22</v>
      </c>
      <c r="F113" s="689" t="s">
        <v>23</v>
      </c>
      <c r="G113" s="557" t="s">
        <v>24</v>
      </c>
      <c r="H113" s="494" t="s">
        <v>25</v>
      </c>
      <c r="I113" s="496" t="s">
        <v>26</v>
      </c>
      <c r="J113" s="536" t="s">
        <v>24</v>
      </c>
      <c r="K113" s="494" t="s">
        <v>25</v>
      </c>
      <c r="L113" s="496" t="s">
        <v>26</v>
      </c>
      <c r="M113" s="536" t="s">
        <v>24</v>
      </c>
      <c r="N113" s="494" t="s">
        <v>25</v>
      </c>
      <c r="O113" s="496" t="s">
        <v>26</v>
      </c>
      <c r="P113" s="536" t="s">
        <v>24</v>
      </c>
      <c r="Q113" s="494" t="s">
        <v>25</v>
      </c>
      <c r="R113" s="496" t="s">
        <v>26</v>
      </c>
      <c r="S113" s="536" t="s">
        <v>24</v>
      </c>
      <c r="T113" s="494" t="s">
        <v>25</v>
      </c>
      <c r="U113" s="496" t="s">
        <v>26</v>
      </c>
      <c r="V113" s="536" t="s">
        <v>24</v>
      </c>
      <c r="W113" s="494" t="s">
        <v>25</v>
      </c>
      <c r="X113" s="496" t="s">
        <v>26</v>
      </c>
      <c r="Y113" s="536" t="s">
        <v>24</v>
      </c>
      <c r="Z113" s="494" t="s">
        <v>25</v>
      </c>
      <c r="AA113" s="496" t="s">
        <v>26</v>
      </c>
      <c r="AB113" s="536" t="s">
        <v>24</v>
      </c>
      <c r="AC113" s="494" t="s">
        <v>25</v>
      </c>
      <c r="AD113" s="496" t="s">
        <v>26</v>
      </c>
      <c r="AE113" s="536" t="s">
        <v>24</v>
      </c>
      <c r="AF113" s="494" t="s">
        <v>25</v>
      </c>
      <c r="AG113" s="496" t="s">
        <v>26</v>
      </c>
      <c r="AH113" s="536" t="s">
        <v>24</v>
      </c>
      <c r="AI113" s="494" t="s">
        <v>25</v>
      </c>
      <c r="AJ113" s="496" t="s">
        <v>26</v>
      </c>
      <c r="AK113" s="536" t="s">
        <v>24</v>
      </c>
      <c r="AL113" s="494" t="s">
        <v>25</v>
      </c>
      <c r="AM113" s="496" t="s">
        <v>26</v>
      </c>
      <c r="AN113" s="536" t="s">
        <v>24</v>
      </c>
      <c r="AO113" s="494" t="s">
        <v>25</v>
      </c>
      <c r="AP113" s="496" t="s">
        <v>26</v>
      </c>
      <c r="AQ113" s="536" t="s">
        <v>24</v>
      </c>
      <c r="AR113" s="494" t="s">
        <v>25</v>
      </c>
      <c r="AS113" s="496" t="s">
        <v>26</v>
      </c>
      <c r="AT113" s="536" t="s">
        <v>24</v>
      </c>
      <c r="AU113" s="494" t="s">
        <v>25</v>
      </c>
      <c r="AV113" s="496" t="s">
        <v>26</v>
      </c>
      <c r="AW113" s="604" t="s">
        <v>24</v>
      </c>
      <c r="AX113" s="513" t="s">
        <v>27</v>
      </c>
    </row>
    <row r="114" spans="1:50" ht="30" customHeight="1">
      <c r="A114" s="676"/>
      <c r="B114" s="524"/>
      <c r="C114" s="494"/>
      <c r="D114" s="524"/>
      <c r="E114" s="494"/>
      <c r="F114" s="678"/>
      <c r="G114" s="557"/>
      <c r="H114" s="494"/>
      <c r="I114" s="496"/>
      <c r="J114" s="536"/>
      <c r="K114" s="494"/>
      <c r="L114" s="496"/>
      <c r="M114" s="536"/>
      <c r="N114" s="494"/>
      <c r="O114" s="496"/>
      <c r="P114" s="536"/>
      <c r="Q114" s="494"/>
      <c r="R114" s="496"/>
      <c r="S114" s="536"/>
      <c r="T114" s="494"/>
      <c r="U114" s="496"/>
      <c r="V114" s="536"/>
      <c r="W114" s="494"/>
      <c r="X114" s="496"/>
      <c r="Y114" s="536"/>
      <c r="Z114" s="494"/>
      <c r="AA114" s="496"/>
      <c r="AB114" s="536"/>
      <c r="AC114" s="494"/>
      <c r="AD114" s="496"/>
      <c r="AE114" s="536"/>
      <c r="AF114" s="494"/>
      <c r="AG114" s="496"/>
      <c r="AH114" s="536"/>
      <c r="AI114" s="494"/>
      <c r="AJ114" s="496"/>
      <c r="AK114" s="536"/>
      <c r="AL114" s="494"/>
      <c r="AM114" s="496"/>
      <c r="AN114" s="536"/>
      <c r="AO114" s="494"/>
      <c r="AP114" s="496"/>
      <c r="AQ114" s="536"/>
      <c r="AR114" s="494"/>
      <c r="AS114" s="496"/>
      <c r="AT114" s="536"/>
      <c r="AU114" s="494"/>
      <c r="AV114" s="496"/>
      <c r="AW114" s="604"/>
      <c r="AX114" s="513"/>
    </row>
    <row r="115" spans="1:50" ht="30" customHeight="1">
      <c r="A115" s="661" t="s">
        <v>66</v>
      </c>
      <c r="B115" s="708" t="s">
        <v>67</v>
      </c>
      <c r="C115" s="710">
        <v>2000188</v>
      </c>
      <c r="D115" s="610" t="s">
        <v>68</v>
      </c>
      <c r="E115" s="668" t="s">
        <v>57</v>
      </c>
      <c r="F115" s="303"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661"/>
      <c r="B116" s="708"/>
      <c r="C116" s="710"/>
      <c r="D116" s="610"/>
      <c r="E116" s="668"/>
      <c r="F116" s="303" t="s">
        <v>33</v>
      </c>
      <c r="G116" s="25"/>
      <c r="H116" s="11">
        <f t="shared" si="188"/>
        <v>0</v>
      </c>
      <c r="I116" s="12"/>
      <c r="J116" s="408">
        <v>190240</v>
      </c>
      <c r="K116" s="409">
        <f t="shared" si="189"/>
        <v>0</v>
      </c>
      <c r="L116" s="410">
        <v>190240</v>
      </c>
      <c r="M116" s="3"/>
      <c r="N116" s="11">
        <f t="shared" si="190"/>
        <v>0</v>
      </c>
      <c r="O116" s="12"/>
      <c r="P116" s="3"/>
      <c r="Q116" s="11">
        <f t="shared" si="191"/>
        <v>0</v>
      </c>
      <c r="R116" s="12"/>
      <c r="S116" s="3"/>
      <c r="T116" s="11">
        <f t="shared" si="192"/>
        <v>0</v>
      </c>
      <c r="U116" s="12"/>
      <c r="V116" s="3"/>
      <c r="W116" s="11">
        <f t="shared" si="193"/>
        <v>0</v>
      </c>
      <c r="X116" s="12"/>
      <c r="Y116" s="408">
        <v>301760</v>
      </c>
      <c r="Z116" s="409">
        <f t="shared" si="194"/>
        <v>0</v>
      </c>
      <c r="AA116" s="410">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4753599</v>
      </c>
    </row>
    <row r="117" spans="1:50">
      <c r="A117" s="661"/>
      <c r="B117" s="708"/>
      <c r="C117" s="710"/>
      <c r="D117" s="610"/>
      <c r="E117" s="668"/>
      <c r="F117" s="303"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661"/>
      <c r="B118" s="708"/>
      <c r="C118" s="710"/>
      <c r="D118" s="610"/>
      <c r="E118" s="668"/>
      <c r="F118" s="303" t="s">
        <v>36</v>
      </c>
      <c r="G118" s="25"/>
      <c r="H118" s="11">
        <f t="shared" si="188"/>
        <v>0</v>
      </c>
      <c r="I118" s="12"/>
      <c r="J118" s="408">
        <v>543589</v>
      </c>
      <c r="K118" s="409">
        <f t="shared" si="189"/>
        <v>0</v>
      </c>
      <c r="L118" s="410">
        <v>543589</v>
      </c>
      <c r="M118" s="3"/>
      <c r="N118" s="11">
        <f t="shared" si="190"/>
        <v>0</v>
      </c>
      <c r="O118" s="12"/>
      <c r="P118" s="408">
        <v>186931</v>
      </c>
      <c r="Q118" s="409">
        <f t="shared" si="191"/>
        <v>0</v>
      </c>
      <c r="R118" s="410">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50727</v>
      </c>
    </row>
    <row r="119" spans="1:50">
      <c r="A119" s="661"/>
      <c r="B119" s="708"/>
      <c r="C119" s="710"/>
      <c r="D119" s="610"/>
      <c r="E119" s="668"/>
      <c r="F119" s="303" t="s">
        <v>37</v>
      </c>
      <c r="G119" s="25"/>
      <c r="H119" s="11">
        <f t="shared" si="188"/>
        <v>0</v>
      </c>
      <c r="I119" s="12"/>
      <c r="J119" s="408">
        <v>384074</v>
      </c>
      <c r="K119" s="409">
        <f t="shared" si="189"/>
        <v>0</v>
      </c>
      <c r="L119" s="410">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08"/>
      <c r="AC119" s="409"/>
      <c r="AD119" s="410">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661"/>
      <c r="B120" s="708"/>
      <c r="C120" s="710"/>
      <c r="D120" s="610"/>
      <c r="E120" s="668"/>
      <c r="F120" s="303"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661"/>
      <c r="B121" s="708"/>
      <c r="C121" s="710"/>
      <c r="D121" s="610"/>
      <c r="E121" s="668"/>
      <c r="F121" s="303" t="s">
        <v>40</v>
      </c>
      <c r="G121" s="25"/>
      <c r="H121" s="11">
        <f t="shared" si="188"/>
        <v>0</v>
      </c>
      <c r="I121" s="12"/>
      <c r="J121" s="408">
        <f>SUM(3142727-384074)</f>
        <v>2758653</v>
      </c>
      <c r="K121" s="409">
        <f t="shared" si="189"/>
        <v>0</v>
      </c>
      <c r="L121" s="410">
        <f>SUM(2452093+306560)</f>
        <v>2758653</v>
      </c>
      <c r="M121" s="3"/>
      <c r="N121" s="11">
        <f t="shared" si="190"/>
        <v>0</v>
      </c>
      <c r="O121" s="12"/>
      <c r="P121" s="408">
        <f>SUM(253632+134720)</f>
        <v>388352</v>
      </c>
      <c r="Q121" s="409">
        <f t="shared" si="191"/>
        <v>50727</v>
      </c>
      <c r="R121" s="410">
        <v>337625</v>
      </c>
      <c r="S121" s="3"/>
      <c r="T121" s="11">
        <f t="shared" si="192"/>
        <v>0</v>
      </c>
      <c r="U121" s="12"/>
      <c r="V121" s="3"/>
      <c r="W121" s="11">
        <f t="shared" si="193"/>
        <v>0</v>
      </c>
      <c r="X121" s="12"/>
      <c r="Y121" s="3"/>
      <c r="Z121" s="11">
        <f t="shared" si="194"/>
        <v>0</v>
      </c>
      <c r="AA121" s="12"/>
      <c r="AB121" s="3"/>
      <c r="AC121" s="11">
        <f>AB121-AD121</f>
        <v>0</v>
      </c>
      <c r="AD121" s="12"/>
      <c r="AE121" s="408"/>
      <c r="AF121" s="409"/>
      <c r="AG121" s="410"/>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661"/>
      <c r="B122" s="708"/>
      <c r="C122" s="710"/>
      <c r="D122" s="610"/>
      <c r="E122" s="668"/>
      <c r="F122" s="303"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661"/>
      <c r="B123" s="708"/>
      <c r="C123" s="710"/>
      <c r="D123" s="610"/>
      <c r="E123" s="668"/>
      <c r="F123" s="303"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0">
        <f>AX121/AX116</f>
        <v>0.98932871704155101</v>
      </c>
    </row>
    <row r="124" spans="1:50">
      <c r="A124" s="662"/>
      <c r="B124" s="709"/>
      <c r="C124" s="681"/>
      <c r="D124" s="711"/>
      <c r="E124" s="669"/>
      <c r="F124" s="305"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713" t="s">
        <v>18</v>
      </c>
      <c r="B125" s="712" t="s">
        <v>19</v>
      </c>
      <c r="C125" s="690" t="s">
        <v>20</v>
      </c>
      <c r="D125" s="712" t="s">
        <v>21</v>
      </c>
      <c r="E125" s="690" t="s">
        <v>22</v>
      </c>
      <c r="F125" s="689" t="s">
        <v>23</v>
      </c>
      <c r="G125" s="693" t="s">
        <v>24</v>
      </c>
      <c r="H125" s="467" t="s">
        <v>25</v>
      </c>
      <c r="I125" s="469" t="s">
        <v>26</v>
      </c>
      <c r="J125" s="465" t="s">
        <v>24</v>
      </c>
      <c r="K125" s="467" t="s">
        <v>25</v>
      </c>
      <c r="L125" s="469" t="s">
        <v>26</v>
      </c>
      <c r="M125" s="465" t="s">
        <v>24</v>
      </c>
      <c r="N125" s="467" t="s">
        <v>25</v>
      </c>
      <c r="O125" s="469" t="s">
        <v>26</v>
      </c>
      <c r="P125" s="465" t="s">
        <v>24</v>
      </c>
      <c r="Q125" s="467" t="s">
        <v>25</v>
      </c>
      <c r="R125" s="469" t="s">
        <v>26</v>
      </c>
      <c r="S125" s="465" t="s">
        <v>24</v>
      </c>
      <c r="T125" s="467" t="s">
        <v>25</v>
      </c>
      <c r="U125" s="469" t="s">
        <v>26</v>
      </c>
      <c r="V125" s="465" t="s">
        <v>24</v>
      </c>
      <c r="W125" s="467" t="s">
        <v>25</v>
      </c>
      <c r="X125" s="639" t="s">
        <v>26</v>
      </c>
      <c r="Y125" s="694" t="s">
        <v>24</v>
      </c>
      <c r="Z125" s="690" t="s">
        <v>25</v>
      </c>
      <c r="AA125" s="691" t="s">
        <v>26</v>
      </c>
      <c r="AB125" s="715" t="s">
        <v>24</v>
      </c>
      <c r="AC125" s="690" t="s">
        <v>25</v>
      </c>
      <c r="AD125" s="691" t="s">
        <v>26</v>
      </c>
      <c r="AE125" s="693" t="s">
        <v>24</v>
      </c>
      <c r="AF125" s="467" t="s">
        <v>25</v>
      </c>
      <c r="AG125" s="469" t="s">
        <v>26</v>
      </c>
      <c r="AH125" s="694" t="s">
        <v>24</v>
      </c>
      <c r="AI125" s="690" t="s">
        <v>25</v>
      </c>
      <c r="AJ125" s="691" t="s">
        <v>26</v>
      </c>
      <c r="AK125" s="693" t="s">
        <v>24</v>
      </c>
      <c r="AL125" s="467" t="s">
        <v>25</v>
      </c>
      <c r="AM125" s="469" t="s">
        <v>26</v>
      </c>
      <c r="AN125" s="693" t="s">
        <v>24</v>
      </c>
      <c r="AO125" s="467" t="s">
        <v>25</v>
      </c>
      <c r="AP125" s="469" t="s">
        <v>26</v>
      </c>
      <c r="AQ125" s="693" t="s">
        <v>24</v>
      </c>
      <c r="AR125" s="467" t="s">
        <v>25</v>
      </c>
      <c r="AS125" s="469" t="s">
        <v>26</v>
      </c>
      <c r="AT125" s="693" t="s">
        <v>24</v>
      </c>
      <c r="AU125" s="467" t="s">
        <v>25</v>
      </c>
      <c r="AV125" s="469" t="s">
        <v>26</v>
      </c>
      <c r="AW125" s="515" t="s">
        <v>24</v>
      </c>
      <c r="AX125" s="513" t="s">
        <v>27</v>
      </c>
    </row>
    <row r="126" spans="1:50" ht="18.75" customHeight="1">
      <c r="A126" s="714"/>
      <c r="B126" s="490"/>
      <c r="C126" s="467"/>
      <c r="D126" s="490"/>
      <c r="E126" s="467"/>
      <c r="F126" s="678"/>
      <c r="G126" s="693"/>
      <c r="H126" s="467"/>
      <c r="I126" s="469"/>
      <c r="J126" s="465"/>
      <c r="K126" s="467"/>
      <c r="L126" s="469"/>
      <c r="M126" s="465"/>
      <c r="N126" s="467"/>
      <c r="O126" s="469"/>
      <c r="P126" s="465"/>
      <c r="Q126" s="467"/>
      <c r="R126" s="469"/>
      <c r="S126" s="465"/>
      <c r="T126" s="467"/>
      <c r="U126" s="469"/>
      <c r="V126" s="465"/>
      <c r="W126" s="467"/>
      <c r="X126" s="639"/>
      <c r="Y126" s="695"/>
      <c r="Z126" s="467"/>
      <c r="AA126" s="692"/>
      <c r="AB126" s="693"/>
      <c r="AC126" s="467"/>
      <c r="AD126" s="692"/>
      <c r="AE126" s="693"/>
      <c r="AF126" s="467"/>
      <c r="AG126" s="469"/>
      <c r="AH126" s="695"/>
      <c r="AI126" s="467"/>
      <c r="AJ126" s="692"/>
      <c r="AK126" s="693"/>
      <c r="AL126" s="467"/>
      <c r="AM126" s="469"/>
      <c r="AN126" s="693"/>
      <c r="AO126" s="467"/>
      <c r="AP126" s="469"/>
      <c r="AQ126" s="693"/>
      <c r="AR126" s="467"/>
      <c r="AS126" s="469"/>
      <c r="AT126" s="693"/>
      <c r="AU126" s="467"/>
      <c r="AV126" s="469"/>
      <c r="AW126" s="515"/>
      <c r="AX126" s="513"/>
    </row>
    <row r="127" spans="1:50" ht="18.75" customHeight="1">
      <c r="A127" s="679" t="s">
        <v>69</v>
      </c>
      <c r="B127" s="613">
        <v>3018</v>
      </c>
      <c r="C127" s="680">
        <v>2300582</v>
      </c>
      <c r="D127" s="619" t="s">
        <v>70</v>
      </c>
      <c r="E127" s="684" t="s">
        <v>60</v>
      </c>
      <c r="F127" s="303"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89"/>
      <c r="Z127" s="9">
        <f t="shared" ref="Z127:Z136" si="213">Y127-AA127</f>
        <v>0</v>
      </c>
      <c r="AA127" s="306"/>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679"/>
      <c r="B128" s="613"/>
      <c r="C128" s="680"/>
      <c r="D128" s="619"/>
      <c r="E128" s="684"/>
      <c r="F128" s="303"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89"/>
      <c r="Z128" s="11">
        <f t="shared" si="213"/>
        <v>0</v>
      </c>
      <c r="AA128" s="190"/>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69815</v>
      </c>
    </row>
    <row r="129" spans="1:50" ht="18.75" customHeight="1">
      <c r="A129" s="679"/>
      <c r="B129" s="613"/>
      <c r="C129" s="680"/>
      <c r="D129" s="619"/>
      <c r="E129" s="684"/>
      <c r="F129" s="303"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89"/>
      <c r="Z129" s="11">
        <f t="shared" si="213"/>
        <v>0</v>
      </c>
      <c r="AA129" s="190"/>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679"/>
      <c r="B130" s="613"/>
      <c r="C130" s="680"/>
      <c r="D130" s="619"/>
      <c r="E130" s="684"/>
      <c r="F130" s="303"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89"/>
      <c r="Z130" s="11">
        <f t="shared" si="213"/>
        <v>0</v>
      </c>
      <c r="AA130" s="190"/>
      <c r="AB130" s="25"/>
      <c r="AC130" s="11">
        <f t="shared" si="214"/>
        <v>0</v>
      </c>
      <c r="AD130" s="12"/>
      <c r="AE130" s="418">
        <v>69815</v>
      </c>
      <c r="AF130" s="409">
        <f t="shared" si="215"/>
        <v>0</v>
      </c>
      <c r="AG130" s="410">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0</v>
      </c>
    </row>
    <row r="131" spans="1:50" ht="18.75" customHeight="1">
      <c r="A131" s="679"/>
      <c r="B131" s="613"/>
      <c r="C131" s="680"/>
      <c r="D131" s="619"/>
      <c r="E131" s="684"/>
      <c r="F131" s="303"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89"/>
      <c r="Z131" s="11">
        <f t="shared" si="213"/>
        <v>0</v>
      </c>
      <c r="AA131" s="190"/>
      <c r="AB131" s="25"/>
      <c r="AC131" s="11">
        <f t="shared" si="214"/>
        <v>0</v>
      </c>
      <c r="AD131" s="12"/>
      <c r="AE131" s="25"/>
      <c r="AF131" s="11">
        <f t="shared" si="215"/>
        <v>0</v>
      </c>
      <c r="AG131" s="12"/>
      <c r="AH131" s="3"/>
      <c r="AI131" s="11">
        <f t="shared" si="216"/>
        <v>0</v>
      </c>
      <c r="AJ131" s="12"/>
      <c r="AK131" s="418">
        <v>700000</v>
      </c>
      <c r="AL131" s="409">
        <f t="shared" si="217"/>
        <v>700000</v>
      </c>
      <c r="AM131" s="410"/>
      <c r="AN131" s="3"/>
      <c r="AO131" s="11">
        <f t="shared" si="218"/>
        <v>0</v>
      </c>
      <c r="AP131" s="12"/>
      <c r="AQ131" s="3"/>
      <c r="AR131" s="11">
        <f t="shared" si="219"/>
        <v>0</v>
      </c>
      <c r="AS131" s="12"/>
      <c r="AT131" s="3"/>
      <c r="AU131" s="11">
        <f t="shared" si="220"/>
        <v>0</v>
      </c>
      <c r="AV131" s="12"/>
      <c r="AW131" s="3"/>
      <c r="AX131" s="7" t="s">
        <v>38</v>
      </c>
    </row>
    <row r="132" spans="1:50" ht="18.75" customHeight="1">
      <c r="A132" s="679"/>
      <c r="B132" s="613"/>
      <c r="C132" s="680"/>
      <c r="D132" s="619"/>
      <c r="E132" s="684"/>
      <c r="F132" s="303" t="s">
        <v>39</v>
      </c>
      <c r="G132" s="25"/>
      <c r="H132" s="11"/>
      <c r="I132" s="12"/>
      <c r="J132" s="3"/>
      <c r="K132" s="11"/>
      <c r="L132" s="12"/>
      <c r="M132" s="3"/>
      <c r="N132" s="11"/>
      <c r="O132" s="12"/>
      <c r="P132" s="3"/>
      <c r="Q132" s="11"/>
      <c r="R132" s="12"/>
      <c r="S132" s="3"/>
      <c r="T132" s="11"/>
      <c r="U132" s="12"/>
      <c r="V132" s="3"/>
      <c r="W132" s="11"/>
      <c r="X132" s="127"/>
      <c r="Y132" s="191"/>
      <c r="Z132" s="20"/>
      <c r="AA132" s="190"/>
      <c r="AB132" s="25"/>
      <c r="AC132" s="11"/>
      <c r="AD132" s="12"/>
      <c r="AE132" s="25"/>
      <c r="AF132" s="11"/>
      <c r="AG132" s="12"/>
      <c r="AH132" s="3"/>
      <c r="AI132" s="11"/>
      <c r="AJ132" s="12"/>
      <c r="AK132" s="408">
        <v>336000</v>
      </c>
      <c r="AL132" s="409">
        <f t="shared" si="217"/>
        <v>336000</v>
      </c>
      <c r="AM132" s="410"/>
      <c r="AN132" s="3"/>
      <c r="AO132" s="11"/>
      <c r="AP132" s="12"/>
      <c r="AQ132" s="3"/>
      <c r="AR132" s="11"/>
      <c r="AS132" s="12"/>
      <c r="AT132" s="3"/>
      <c r="AU132" s="11"/>
      <c r="AV132" s="12"/>
      <c r="AW132" s="3"/>
      <c r="AX132" s="7"/>
    </row>
    <row r="133" spans="1:50" ht="18.75" customHeight="1">
      <c r="A133" s="679"/>
      <c r="B133" s="613"/>
      <c r="C133" s="680"/>
      <c r="D133" s="619"/>
      <c r="E133" s="684"/>
      <c r="F133" s="303"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1"/>
      <c r="Z133" s="20">
        <f t="shared" si="213"/>
        <v>0</v>
      </c>
      <c r="AA133" s="190"/>
      <c r="AB133" s="25"/>
      <c r="AC133" s="11">
        <f t="shared" si="214"/>
        <v>0</v>
      </c>
      <c r="AD133" s="12"/>
      <c r="AE133" s="25"/>
      <c r="AF133" s="11">
        <f t="shared" si="215"/>
        <v>0</v>
      </c>
      <c r="AG133" s="12"/>
      <c r="AH133" s="3"/>
      <c r="AI133" s="11">
        <f t="shared" si="216"/>
        <v>0</v>
      </c>
      <c r="AJ133" s="12"/>
      <c r="AK133" s="408">
        <v>3200000</v>
      </c>
      <c r="AL133" s="409">
        <f t="shared" si="217"/>
        <v>3200000</v>
      </c>
      <c r="AM133" s="410"/>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679"/>
      <c r="B134" s="613"/>
      <c r="C134" s="680"/>
      <c r="D134" s="619"/>
      <c r="E134" s="684"/>
      <c r="F134" s="303"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89"/>
      <c r="Z134" s="11">
        <f t="shared" si="213"/>
        <v>0</v>
      </c>
      <c r="AA134" s="190"/>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679"/>
      <c r="B135" s="613"/>
      <c r="C135" s="680"/>
      <c r="D135" s="619"/>
      <c r="E135" s="684"/>
      <c r="F135" s="303"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89"/>
      <c r="Z135" s="11">
        <f t="shared" si="213"/>
        <v>0</v>
      </c>
      <c r="AA135" s="190"/>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0">
        <f>AX133/AX128</f>
        <v>1</v>
      </c>
    </row>
    <row r="136" spans="1:50" ht="18.75" customHeight="1">
      <c r="A136" s="662"/>
      <c r="B136" s="663"/>
      <c r="C136" s="681"/>
      <c r="D136" s="667"/>
      <c r="E136" s="669"/>
      <c r="F136" s="305" t="s">
        <v>44</v>
      </c>
      <c r="G136" s="292"/>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2"/>
      <c r="Z136" s="193">
        <f t="shared" si="213"/>
        <v>0</v>
      </c>
      <c r="AA136" s="194"/>
      <c r="AB136" s="292"/>
      <c r="AC136" s="16">
        <f t="shared" si="227"/>
        <v>0</v>
      </c>
      <c r="AD136" s="17"/>
      <c r="AE136" s="292"/>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1"/>
    </row>
    <row r="137" spans="1:50" ht="18.75" customHeight="1">
      <c r="A137" s="713" t="s">
        <v>18</v>
      </c>
      <c r="B137" s="712" t="s">
        <v>19</v>
      </c>
      <c r="C137" s="690" t="s">
        <v>20</v>
      </c>
      <c r="D137" s="712" t="s">
        <v>21</v>
      </c>
      <c r="E137" s="690" t="s">
        <v>22</v>
      </c>
      <c r="F137" s="689" t="s">
        <v>23</v>
      </c>
      <c r="G137" s="693" t="s">
        <v>24</v>
      </c>
      <c r="H137" s="467" t="s">
        <v>25</v>
      </c>
      <c r="I137" s="469" t="s">
        <v>26</v>
      </c>
      <c r="J137" s="465" t="s">
        <v>24</v>
      </c>
      <c r="K137" s="467" t="s">
        <v>25</v>
      </c>
      <c r="L137" s="469" t="s">
        <v>26</v>
      </c>
      <c r="M137" s="465" t="s">
        <v>24</v>
      </c>
      <c r="N137" s="467" t="s">
        <v>25</v>
      </c>
      <c r="O137" s="469" t="s">
        <v>26</v>
      </c>
      <c r="P137" s="465" t="s">
        <v>24</v>
      </c>
      <c r="Q137" s="467" t="s">
        <v>25</v>
      </c>
      <c r="R137" s="469" t="s">
        <v>26</v>
      </c>
      <c r="S137" s="465" t="s">
        <v>24</v>
      </c>
      <c r="T137" s="467" t="s">
        <v>25</v>
      </c>
      <c r="U137" s="469" t="s">
        <v>26</v>
      </c>
      <c r="V137" s="465" t="s">
        <v>24</v>
      </c>
      <c r="W137" s="467" t="s">
        <v>25</v>
      </c>
      <c r="X137" s="639" t="s">
        <v>26</v>
      </c>
      <c r="Y137" s="694" t="s">
        <v>24</v>
      </c>
      <c r="Z137" s="690" t="s">
        <v>25</v>
      </c>
      <c r="AA137" s="691" t="s">
        <v>26</v>
      </c>
      <c r="AB137" s="715" t="s">
        <v>24</v>
      </c>
      <c r="AC137" s="690" t="s">
        <v>25</v>
      </c>
      <c r="AD137" s="691" t="s">
        <v>26</v>
      </c>
      <c r="AE137" s="693" t="s">
        <v>24</v>
      </c>
      <c r="AF137" s="467" t="s">
        <v>25</v>
      </c>
      <c r="AG137" s="469" t="s">
        <v>26</v>
      </c>
      <c r="AH137" s="694" t="s">
        <v>24</v>
      </c>
      <c r="AI137" s="690" t="s">
        <v>25</v>
      </c>
      <c r="AJ137" s="691" t="s">
        <v>26</v>
      </c>
      <c r="AK137" s="693" t="s">
        <v>24</v>
      </c>
      <c r="AL137" s="467" t="s">
        <v>25</v>
      </c>
      <c r="AM137" s="469" t="s">
        <v>26</v>
      </c>
      <c r="AN137" s="693" t="s">
        <v>24</v>
      </c>
      <c r="AO137" s="467" t="s">
        <v>25</v>
      </c>
      <c r="AP137" s="469" t="s">
        <v>26</v>
      </c>
      <c r="AQ137" s="693" t="s">
        <v>24</v>
      </c>
      <c r="AR137" s="467" t="s">
        <v>25</v>
      </c>
      <c r="AS137" s="469" t="s">
        <v>26</v>
      </c>
      <c r="AT137" s="693" t="s">
        <v>24</v>
      </c>
      <c r="AU137" s="467" t="s">
        <v>25</v>
      </c>
      <c r="AV137" s="469" t="s">
        <v>26</v>
      </c>
      <c r="AW137" s="515" t="s">
        <v>24</v>
      </c>
      <c r="AX137" s="513" t="s">
        <v>27</v>
      </c>
    </row>
    <row r="138" spans="1:50" ht="21" customHeight="1">
      <c r="A138" s="714"/>
      <c r="B138" s="490"/>
      <c r="C138" s="467"/>
      <c r="D138" s="490"/>
      <c r="E138" s="467"/>
      <c r="F138" s="678"/>
      <c r="G138" s="693"/>
      <c r="H138" s="467"/>
      <c r="I138" s="469"/>
      <c r="J138" s="465"/>
      <c r="K138" s="467"/>
      <c r="L138" s="469"/>
      <c r="M138" s="465"/>
      <c r="N138" s="467"/>
      <c r="O138" s="469"/>
      <c r="P138" s="465"/>
      <c r="Q138" s="467"/>
      <c r="R138" s="469"/>
      <c r="S138" s="465"/>
      <c r="T138" s="467"/>
      <c r="U138" s="469"/>
      <c r="V138" s="465"/>
      <c r="W138" s="467"/>
      <c r="X138" s="639"/>
      <c r="Y138" s="695"/>
      <c r="Z138" s="467"/>
      <c r="AA138" s="692"/>
      <c r="AB138" s="693"/>
      <c r="AC138" s="467"/>
      <c r="AD138" s="692"/>
      <c r="AE138" s="693"/>
      <c r="AF138" s="467"/>
      <c r="AG138" s="469"/>
      <c r="AH138" s="695"/>
      <c r="AI138" s="467"/>
      <c r="AJ138" s="692"/>
      <c r="AK138" s="693"/>
      <c r="AL138" s="467"/>
      <c r="AM138" s="469"/>
      <c r="AN138" s="693"/>
      <c r="AO138" s="467"/>
      <c r="AP138" s="469"/>
      <c r="AQ138" s="693"/>
      <c r="AR138" s="467"/>
      <c r="AS138" s="469"/>
      <c r="AT138" s="693"/>
      <c r="AU138" s="467"/>
      <c r="AV138" s="469"/>
      <c r="AW138" s="515"/>
      <c r="AX138" s="513"/>
    </row>
    <row r="139" spans="1:50" ht="21" customHeight="1">
      <c r="A139" s="679" t="s">
        <v>71</v>
      </c>
      <c r="B139" s="613">
        <v>3019</v>
      </c>
      <c r="C139" s="680">
        <v>2301311</v>
      </c>
      <c r="D139" s="619" t="s">
        <v>72</v>
      </c>
      <c r="E139" s="684" t="s">
        <v>60</v>
      </c>
      <c r="F139" s="303"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89"/>
      <c r="Z139" s="9">
        <f t="shared" ref="Z139:Z148" si="235">Y139-AA139</f>
        <v>0</v>
      </c>
      <c r="AA139" s="306"/>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679"/>
      <c r="B140" s="613"/>
      <c r="C140" s="680"/>
      <c r="D140" s="619"/>
      <c r="E140" s="684"/>
      <c r="F140" s="303"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89"/>
      <c r="Z140" s="11">
        <f t="shared" si="235"/>
        <v>0</v>
      </c>
      <c r="AA140" s="190"/>
      <c r="AB140" s="25"/>
      <c r="AC140" s="11">
        <f t="shared" si="236"/>
        <v>0</v>
      </c>
      <c r="AD140" s="12"/>
      <c r="AE140" s="418"/>
      <c r="AF140" s="409">
        <f t="shared" si="237"/>
        <v>0</v>
      </c>
      <c r="AG140" s="410"/>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679"/>
      <c r="B141" s="613"/>
      <c r="C141" s="680"/>
      <c r="D141" s="619"/>
      <c r="E141" s="684"/>
      <c r="F141" s="303"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89"/>
      <c r="Z141" s="11">
        <f t="shared" si="235"/>
        <v>0</v>
      </c>
      <c r="AA141" s="190"/>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679"/>
      <c r="B142" s="613"/>
      <c r="C142" s="680"/>
      <c r="D142" s="619"/>
      <c r="E142" s="684"/>
      <c r="F142" s="303"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89"/>
      <c r="Z142" s="11">
        <f t="shared" si="235"/>
        <v>0</v>
      </c>
      <c r="AA142" s="190"/>
      <c r="AB142" s="25"/>
      <c r="AC142" s="11">
        <f t="shared" si="236"/>
        <v>0</v>
      </c>
      <c r="AD142" s="12"/>
      <c r="AE142" s="25"/>
      <c r="AF142" s="11">
        <f t="shared" si="237"/>
        <v>0</v>
      </c>
      <c r="AG142" s="12"/>
      <c r="AH142" s="3"/>
      <c r="AI142" s="11">
        <f>AH142-AJ142</f>
        <v>0</v>
      </c>
      <c r="AJ142" s="12"/>
      <c r="AK142" s="408"/>
      <c r="AL142" s="409">
        <f t="shared" si="239"/>
        <v>0</v>
      </c>
      <c r="AM142" s="410"/>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679"/>
      <c r="B143" s="613"/>
      <c r="C143" s="680"/>
      <c r="D143" s="619"/>
      <c r="E143" s="684"/>
      <c r="F143" s="303"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89"/>
      <c r="Z143" s="11">
        <f t="shared" si="235"/>
        <v>0</v>
      </c>
      <c r="AA143" s="190"/>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679"/>
      <c r="B144" s="613"/>
      <c r="C144" s="680"/>
      <c r="D144" s="619"/>
      <c r="E144" s="684"/>
      <c r="F144" s="303" t="s">
        <v>39</v>
      </c>
      <c r="G144" s="25"/>
      <c r="H144" s="11"/>
      <c r="I144" s="12"/>
      <c r="J144" s="3"/>
      <c r="K144" s="11"/>
      <c r="L144" s="12"/>
      <c r="M144" s="3"/>
      <c r="N144" s="11"/>
      <c r="O144" s="12"/>
      <c r="P144" s="3"/>
      <c r="Q144" s="11"/>
      <c r="R144" s="12"/>
      <c r="S144" s="3"/>
      <c r="T144" s="11"/>
      <c r="U144" s="12"/>
      <c r="V144" s="3"/>
      <c r="W144" s="11"/>
      <c r="X144" s="127"/>
      <c r="Y144" s="191"/>
      <c r="Z144" s="20"/>
      <c r="AA144" s="190"/>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679"/>
      <c r="B145" s="613"/>
      <c r="C145" s="680"/>
      <c r="D145" s="619"/>
      <c r="E145" s="684"/>
      <c r="F145" s="303"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1"/>
      <c r="Z145" s="20">
        <f t="shared" si="235"/>
        <v>0</v>
      </c>
      <c r="AA145" s="190"/>
      <c r="AB145" s="25"/>
      <c r="AC145" s="11">
        <f t="shared" si="236"/>
        <v>0</v>
      </c>
      <c r="AD145" s="12"/>
      <c r="AE145" s="25"/>
      <c r="AF145" s="11"/>
      <c r="AG145" s="12"/>
      <c r="AH145" s="3"/>
      <c r="AI145" s="11"/>
      <c r="AJ145" s="12"/>
      <c r="AK145" s="3"/>
      <c r="AL145" s="11">
        <f t="shared" si="239"/>
        <v>0</v>
      </c>
      <c r="AM145" s="12"/>
      <c r="AN145" s="3"/>
      <c r="AO145" s="11">
        <f t="shared" si="240"/>
        <v>0</v>
      </c>
      <c r="AP145" s="12"/>
      <c r="AQ145" s="408"/>
      <c r="AR145" s="409">
        <f t="shared" si="241"/>
        <v>0</v>
      </c>
      <c r="AS145" s="410"/>
      <c r="AT145" s="444"/>
      <c r="AU145" s="166"/>
      <c r="AV145" s="167"/>
      <c r="AW145" s="3"/>
      <c r="AX145" s="63">
        <f>SUM(I139:I148,L139:L148,O139:O148,R139:R148,U139:U148,X139:X148,AA139:AA148,AD139:AD148,AG139:AG148)</f>
        <v>0</v>
      </c>
    </row>
    <row r="146" spans="1:50" ht="21" customHeight="1">
      <c r="A146" s="679"/>
      <c r="B146" s="613"/>
      <c r="C146" s="680"/>
      <c r="D146" s="619"/>
      <c r="E146" s="684"/>
      <c r="F146" s="303"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89"/>
      <c r="Z146" s="11">
        <f t="shared" si="235"/>
        <v>0</v>
      </c>
      <c r="AA146" s="190"/>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679"/>
      <c r="B147" s="613"/>
      <c r="C147" s="680"/>
      <c r="D147" s="619"/>
      <c r="E147" s="684"/>
      <c r="F147" s="303"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89"/>
      <c r="Z147" s="11">
        <f t="shared" si="235"/>
        <v>0</v>
      </c>
      <c r="AA147" s="190"/>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0" t="e">
        <f>AX145/AX140</f>
        <v>#DIV/0!</v>
      </c>
    </row>
    <row r="148" spans="1:50" ht="21" customHeight="1">
      <c r="A148" s="662"/>
      <c r="B148" s="663"/>
      <c r="C148" s="681"/>
      <c r="D148" s="667"/>
      <c r="E148" s="669"/>
      <c r="F148" s="305" t="s">
        <v>44</v>
      </c>
      <c r="G148" s="292"/>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2"/>
      <c r="Z148" s="193">
        <f t="shared" si="235"/>
        <v>0</v>
      </c>
      <c r="AA148" s="194"/>
      <c r="AB148" s="292"/>
      <c r="AC148" s="16">
        <f t="shared" si="236"/>
        <v>0</v>
      </c>
      <c r="AD148" s="17"/>
      <c r="AE148" s="292"/>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1"/>
    </row>
    <row r="149" spans="1:50" ht="30" customHeight="1">
      <c r="A149" s="713" t="s">
        <v>18</v>
      </c>
      <c r="B149" s="712" t="s">
        <v>19</v>
      </c>
      <c r="C149" s="690" t="s">
        <v>20</v>
      </c>
      <c r="D149" s="712" t="s">
        <v>21</v>
      </c>
      <c r="E149" s="690" t="s">
        <v>22</v>
      </c>
      <c r="F149" s="689" t="s">
        <v>23</v>
      </c>
      <c r="G149" s="693" t="s">
        <v>24</v>
      </c>
      <c r="H149" s="467" t="s">
        <v>25</v>
      </c>
      <c r="I149" s="469" t="s">
        <v>26</v>
      </c>
      <c r="J149" s="465" t="s">
        <v>24</v>
      </c>
      <c r="K149" s="467" t="s">
        <v>25</v>
      </c>
      <c r="L149" s="469" t="s">
        <v>26</v>
      </c>
      <c r="M149" s="465" t="s">
        <v>24</v>
      </c>
      <c r="N149" s="467" t="s">
        <v>25</v>
      </c>
      <c r="O149" s="469" t="s">
        <v>26</v>
      </c>
      <c r="P149" s="465" t="s">
        <v>24</v>
      </c>
      <c r="Q149" s="467" t="s">
        <v>25</v>
      </c>
      <c r="R149" s="469" t="s">
        <v>26</v>
      </c>
      <c r="S149" s="465" t="s">
        <v>24</v>
      </c>
      <c r="T149" s="467" t="s">
        <v>25</v>
      </c>
      <c r="U149" s="469" t="s">
        <v>26</v>
      </c>
      <c r="V149" s="465" t="s">
        <v>24</v>
      </c>
      <c r="W149" s="467" t="s">
        <v>25</v>
      </c>
      <c r="X149" s="639" t="s">
        <v>26</v>
      </c>
      <c r="Y149" s="694" t="s">
        <v>24</v>
      </c>
      <c r="Z149" s="690" t="s">
        <v>25</v>
      </c>
      <c r="AA149" s="691" t="s">
        <v>26</v>
      </c>
      <c r="AB149" s="715" t="s">
        <v>24</v>
      </c>
      <c r="AC149" s="690" t="s">
        <v>25</v>
      </c>
      <c r="AD149" s="691" t="s">
        <v>26</v>
      </c>
      <c r="AE149" s="693" t="s">
        <v>24</v>
      </c>
      <c r="AF149" s="467" t="s">
        <v>25</v>
      </c>
      <c r="AG149" s="469" t="s">
        <v>26</v>
      </c>
      <c r="AH149" s="694" t="s">
        <v>24</v>
      </c>
      <c r="AI149" s="690" t="s">
        <v>25</v>
      </c>
      <c r="AJ149" s="691" t="s">
        <v>26</v>
      </c>
      <c r="AK149" s="693" t="s">
        <v>24</v>
      </c>
      <c r="AL149" s="467" t="s">
        <v>25</v>
      </c>
      <c r="AM149" s="469" t="s">
        <v>26</v>
      </c>
      <c r="AN149" s="693" t="s">
        <v>24</v>
      </c>
      <c r="AO149" s="467" t="s">
        <v>25</v>
      </c>
      <c r="AP149" s="469" t="s">
        <v>26</v>
      </c>
      <c r="AQ149" s="693" t="s">
        <v>24</v>
      </c>
      <c r="AR149" s="467" t="s">
        <v>25</v>
      </c>
      <c r="AS149" s="469" t="s">
        <v>26</v>
      </c>
      <c r="AT149" s="693" t="s">
        <v>24</v>
      </c>
      <c r="AU149" s="467" t="s">
        <v>25</v>
      </c>
      <c r="AV149" s="469" t="s">
        <v>26</v>
      </c>
      <c r="AW149" s="515" t="s">
        <v>24</v>
      </c>
      <c r="AX149" s="513" t="s">
        <v>27</v>
      </c>
    </row>
    <row r="150" spans="1:50" ht="13.5" customHeight="1">
      <c r="A150" s="714"/>
      <c r="B150" s="490"/>
      <c r="C150" s="467"/>
      <c r="D150" s="490"/>
      <c r="E150" s="467"/>
      <c r="F150" s="678"/>
      <c r="G150" s="693"/>
      <c r="H150" s="467"/>
      <c r="I150" s="469"/>
      <c r="J150" s="465"/>
      <c r="K150" s="467"/>
      <c r="L150" s="469"/>
      <c r="M150" s="465"/>
      <c r="N150" s="467"/>
      <c r="O150" s="469"/>
      <c r="P150" s="465"/>
      <c r="Q150" s="467"/>
      <c r="R150" s="469"/>
      <c r="S150" s="465"/>
      <c r="T150" s="467"/>
      <c r="U150" s="469"/>
      <c r="V150" s="465"/>
      <c r="W150" s="467"/>
      <c r="X150" s="639"/>
      <c r="Y150" s="695"/>
      <c r="Z150" s="467"/>
      <c r="AA150" s="692"/>
      <c r="AB150" s="693"/>
      <c r="AC150" s="467"/>
      <c r="AD150" s="692"/>
      <c r="AE150" s="693"/>
      <c r="AF150" s="467"/>
      <c r="AG150" s="469"/>
      <c r="AH150" s="695"/>
      <c r="AI150" s="467"/>
      <c r="AJ150" s="692"/>
      <c r="AK150" s="693"/>
      <c r="AL150" s="467"/>
      <c r="AM150" s="469"/>
      <c r="AN150" s="693"/>
      <c r="AO150" s="467"/>
      <c r="AP150" s="469"/>
      <c r="AQ150" s="693"/>
      <c r="AR150" s="467"/>
      <c r="AS150" s="469"/>
      <c r="AT150" s="693"/>
      <c r="AU150" s="467"/>
      <c r="AV150" s="469"/>
      <c r="AW150" s="515"/>
      <c r="AX150" s="513"/>
    </row>
    <row r="151" spans="1:50" ht="13.5" customHeight="1">
      <c r="A151" s="679" t="s">
        <v>73</v>
      </c>
      <c r="B151" s="613">
        <v>3102</v>
      </c>
      <c r="C151" s="680">
        <v>2301317</v>
      </c>
      <c r="D151" s="619" t="s">
        <v>74</v>
      </c>
      <c r="E151" s="684" t="s">
        <v>57</v>
      </c>
      <c r="F151" s="303"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89"/>
      <c r="Z151" s="9">
        <f t="shared" ref="Z151:Z160" si="250">Y151-AA151</f>
        <v>0</v>
      </c>
      <c r="AA151" s="306"/>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679"/>
      <c r="B152" s="613"/>
      <c r="C152" s="680"/>
      <c r="D152" s="619"/>
      <c r="E152" s="684"/>
      <c r="F152" s="303"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89"/>
      <c r="Z152" s="11">
        <f t="shared" si="250"/>
        <v>0</v>
      </c>
      <c r="AA152" s="190"/>
      <c r="AB152" s="25"/>
      <c r="AC152" s="11">
        <f t="shared" si="251"/>
        <v>0</v>
      </c>
      <c r="AD152" s="12"/>
      <c r="AE152" s="418"/>
      <c r="AF152" s="409">
        <f t="shared" ref="AF152:AF153" si="258">AE152-AG152</f>
        <v>0</v>
      </c>
      <c r="AG152" s="410">
        <v>0</v>
      </c>
      <c r="AH152" s="446"/>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0</v>
      </c>
    </row>
    <row r="153" spans="1:50" ht="13.5" customHeight="1">
      <c r="A153" s="679"/>
      <c r="B153" s="613"/>
      <c r="C153" s="680"/>
      <c r="D153" s="619"/>
      <c r="E153" s="684"/>
      <c r="F153" s="303"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89"/>
      <c r="Z153" s="11">
        <f t="shared" si="250"/>
        <v>0</v>
      </c>
      <c r="AA153" s="190"/>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679"/>
      <c r="B154" s="613"/>
      <c r="C154" s="680"/>
      <c r="D154" s="619"/>
      <c r="E154" s="684"/>
      <c r="F154" s="303"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89"/>
      <c r="Z154" s="11">
        <f t="shared" si="250"/>
        <v>0</v>
      </c>
      <c r="AA154" s="190"/>
      <c r="AB154" s="25"/>
      <c r="AC154" s="11">
        <f t="shared" si="251"/>
        <v>0</v>
      </c>
      <c r="AD154" s="12"/>
      <c r="AE154" s="25"/>
      <c r="AF154" s="11">
        <f t="shared" si="252"/>
        <v>0</v>
      </c>
      <c r="AG154" s="12"/>
      <c r="AH154" s="3"/>
      <c r="AI154" s="11">
        <f t="shared" si="253"/>
        <v>0</v>
      </c>
      <c r="AJ154" s="12"/>
      <c r="AK154" s="444"/>
      <c r="AL154" s="166"/>
      <c r="AM154" s="167"/>
      <c r="AN154" s="444"/>
      <c r="AO154" s="166">
        <f t="shared" si="255"/>
        <v>0</v>
      </c>
      <c r="AP154" s="167"/>
      <c r="AQ154" s="3"/>
      <c r="AR154" s="11">
        <f t="shared" si="256"/>
        <v>0</v>
      </c>
      <c r="AS154" s="12"/>
      <c r="AT154" s="408">
        <v>439200</v>
      </c>
      <c r="AU154" s="409">
        <f t="shared" si="257"/>
        <v>439200</v>
      </c>
      <c r="AV154" s="410"/>
      <c r="AW154" s="3"/>
      <c r="AX154" s="63">
        <f>SUM(H151:H160,K151:K160,N151:N160,Q151:Q160,T151:T160,W151:W160,Z151:Z160,AC151:AC160,Z151:Z160,AF151:AF160,AK155,AN157)</f>
        <v>0</v>
      </c>
    </row>
    <row r="155" spans="1:50" ht="13.5" customHeight="1">
      <c r="A155" s="679"/>
      <c r="B155" s="613"/>
      <c r="C155" s="680"/>
      <c r="D155" s="619"/>
      <c r="E155" s="684"/>
      <c r="F155" s="303"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89"/>
      <c r="Z155" s="11">
        <f t="shared" si="250"/>
        <v>0</v>
      </c>
      <c r="AA155" s="190"/>
      <c r="AB155" s="25"/>
      <c r="AC155" s="11">
        <f t="shared" si="251"/>
        <v>0</v>
      </c>
      <c r="AD155" s="12"/>
      <c r="AE155" s="25"/>
      <c r="AF155" s="11">
        <f t="shared" si="252"/>
        <v>0</v>
      </c>
      <c r="AG155" s="12"/>
      <c r="AH155" s="3"/>
      <c r="AI155" s="11">
        <f t="shared" si="253"/>
        <v>0</v>
      </c>
      <c r="AJ155" s="12"/>
      <c r="AK155" s="3"/>
      <c r="AL155" s="11">
        <f t="shared" si="254"/>
        <v>0</v>
      </c>
      <c r="AM155" s="12"/>
      <c r="AN155" s="444"/>
      <c r="AO155" s="166"/>
      <c r="AP155" s="167"/>
      <c r="AQ155" s="444"/>
      <c r="AR155" s="166">
        <f t="shared" si="256"/>
        <v>0</v>
      </c>
      <c r="AS155" s="167"/>
      <c r="AT155" s="444"/>
      <c r="AU155" s="166"/>
      <c r="AV155" s="167"/>
      <c r="AW155" s="3">
        <v>80000</v>
      </c>
      <c r="AX155" s="7" t="s">
        <v>38</v>
      </c>
    </row>
    <row r="156" spans="1:50" ht="13.5" customHeight="1">
      <c r="A156" s="679"/>
      <c r="B156" s="613"/>
      <c r="C156" s="680"/>
      <c r="D156" s="619"/>
      <c r="E156" s="684"/>
      <c r="F156" s="303" t="s">
        <v>39</v>
      </c>
      <c r="G156" s="25"/>
      <c r="H156" s="11"/>
      <c r="I156" s="12"/>
      <c r="J156" s="3"/>
      <c r="K156" s="11"/>
      <c r="L156" s="12"/>
      <c r="M156" s="3"/>
      <c r="N156" s="11"/>
      <c r="O156" s="12"/>
      <c r="P156" s="3"/>
      <c r="Q156" s="11"/>
      <c r="R156" s="12"/>
      <c r="S156" s="3"/>
      <c r="T156" s="11"/>
      <c r="U156" s="12"/>
      <c r="V156" s="3"/>
      <c r="W156" s="11"/>
      <c r="X156" s="127"/>
      <c r="Y156" s="191"/>
      <c r="Z156" s="20"/>
      <c r="AA156" s="190"/>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679"/>
      <c r="B157" s="613"/>
      <c r="C157" s="680"/>
      <c r="D157" s="619"/>
      <c r="E157" s="684"/>
      <c r="F157" s="303"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1"/>
      <c r="Z157" s="20">
        <f t="shared" si="250"/>
        <v>0</v>
      </c>
      <c r="AA157" s="190"/>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4"/>
      <c r="AR157" s="166"/>
      <c r="AS157" s="167"/>
      <c r="AT157" s="444"/>
      <c r="AU157" s="166">
        <f>AT157-AV157</f>
        <v>0</v>
      </c>
      <c r="AV157" s="167"/>
      <c r="AW157" s="444">
        <v>2074949</v>
      </c>
      <c r="AX157" s="63">
        <f>SUM(I151:I160,L151:L160,O151:O160,R151:R160,U151:U160,X151:X160,AA151:AA160,AD151:AD160,AG151:AG160)</f>
        <v>0</v>
      </c>
    </row>
    <row r="158" spans="1:50" ht="13.5" customHeight="1">
      <c r="A158" s="679"/>
      <c r="B158" s="613"/>
      <c r="C158" s="680"/>
      <c r="D158" s="619"/>
      <c r="E158" s="684"/>
      <c r="F158" s="303"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89"/>
      <c r="Z158" s="11">
        <f t="shared" si="250"/>
        <v>0</v>
      </c>
      <c r="AA158" s="190"/>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679"/>
      <c r="B159" s="613"/>
      <c r="C159" s="680"/>
      <c r="D159" s="619"/>
      <c r="E159" s="684"/>
      <c r="F159" s="303"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89"/>
      <c r="Z159" s="11">
        <f t="shared" si="250"/>
        <v>0</v>
      </c>
      <c r="AA159" s="190"/>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0" t="e">
        <f>AX157/AX152</f>
        <v>#DIV/0!</v>
      </c>
    </row>
    <row r="160" spans="1:50">
      <c r="A160" s="662"/>
      <c r="B160" s="663"/>
      <c r="C160" s="680"/>
      <c r="D160" s="667"/>
      <c r="E160" s="669"/>
      <c r="F160" s="305" t="s">
        <v>44</v>
      </c>
      <c r="G160" s="292"/>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2"/>
      <c r="Z160" s="193">
        <f t="shared" si="250"/>
        <v>0</v>
      </c>
      <c r="AA160" s="194"/>
      <c r="AB160" s="292"/>
      <c r="AC160" s="16">
        <f t="shared" si="251"/>
        <v>0</v>
      </c>
      <c r="AD160" s="17"/>
      <c r="AE160" s="292"/>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1"/>
    </row>
    <row r="161" spans="1:50" ht="17.25" customHeight="1">
      <c r="A161" s="713" t="s">
        <v>18</v>
      </c>
      <c r="B161" s="712" t="s">
        <v>19</v>
      </c>
      <c r="C161" s="690" t="s">
        <v>20</v>
      </c>
      <c r="D161" s="712" t="s">
        <v>21</v>
      </c>
      <c r="E161" s="690" t="s">
        <v>22</v>
      </c>
      <c r="F161" s="689" t="s">
        <v>23</v>
      </c>
      <c r="G161" s="693" t="s">
        <v>24</v>
      </c>
      <c r="H161" s="467" t="s">
        <v>25</v>
      </c>
      <c r="I161" s="469" t="s">
        <v>26</v>
      </c>
      <c r="J161" s="465" t="s">
        <v>24</v>
      </c>
      <c r="K161" s="467" t="s">
        <v>25</v>
      </c>
      <c r="L161" s="469" t="s">
        <v>26</v>
      </c>
      <c r="M161" s="465" t="s">
        <v>24</v>
      </c>
      <c r="N161" s="467" t="s">
        <v>25</v>
      </c>
      <c r="O161" s="469" t="s">
        <v>26</v>
      </c>
      <c r="P161" s="465" t="s">
        <v>24</v>
      </c>
      <c r="Q161" s="467" t="s">
        <v>25</v>
      </c>
      <c r="R161" s="469" t="s">
        <v>26</v>
      </c>
      <c r="S161" s="465" t="s">
        <v>24</v>
      </c>
      <c r="T161" s="467" t="s">
        <v>25</v>
      </c>
      <c r="U161" s="469" t="s">
        <v>26</v>
      </c>
      <c r="V161" s="465" t="s">
        <v>24</v>
      </c>
      <c r="W161" s="467" t="s">
        <v>25</v>
      </c>
      <c r="X161" s="639" t="s">
        <v>26</v>
      </c>
      <c r="Y161" s="694" t="s">
        <v>24</v>
      </c>
      <c r="Z161" s="690" t="s">
        <v>25</v>
      </c>
      <c r="AA161" s="691" t="s">
        <v>26</v>
      </c>
      <c r="AB161" s="715" t="s">
        <v>24</v>
      </c>
      <c r="AC161" s="690" t="s">
        <v>25</v>
      </c>
      <c r="AD161" s="691" t="s">
        <v>26</v>
      </c>
      <c r="AE161" s="693" t="s">
        <v>24</v>
      </c>
      <c r="AF161" s="467" t="s">
        <v>25</v>
      </c>
      <c r="AG161" s="469" t="s">
        <v>26</v>
      </c>
      <c r="AH161" s="694" t="s">
        <v>24</v>
      </c>
      <c r="AI161" s="690" t="s">
        <v>25</v>
      </c>
      <c r="AJ161" s="691" t="s">
        <v>26</v>
      </c>
      <c r="AK161" s="693" t="s">
        <v>24</v>
      </c>
      <c r="AL161" s="467" t="s">
        <v>25</v>
      </c>
      <c r="AM161" s="469" t="s">
        <v>26</v>
      </c>
      <c r="AN161" s="693" t="s">
        <v>24</v>
      </c>
      <c r="AO161" s="467" t="s">
        <v>25</v>
      </c>
      <c r="AP161" s="469" t="s">
        <v>26</v>
      </c>
      <c r="AQ161" s="693" t="s">
        <v>24</v>
      </c>
      <c r="AR161" s="467" t="s">
        <v>25</v>
      </c>
      <c r="AS161" s="469" t="s">
        <v>26</v>
      </c>
      <c r="AT161" s="693" t="s">
        <v>24</v>
      </c>
      <c r="AU161" s="467" t="s">
        <v>25</v>
      </c>
      <c r="AV161" s="469" t="s">
        <v>26</v>
      </c>
      <c r="AW161" s="515" t="s">
        <v>24</v>
      </c>
      <c r="AX161" s="513" t="s">
        <v>27</v>
      </c>
    </row>
    <row r="162" spans="1:50" ht="17.25" customHeight="1">
      <c r="A162" s="714"/>
      <c r="B162" s="490"/>
      <c r="C162" s="467"/>
      <c r="D162" s="490"/>
      <c r="E162" s="467"/>
      <c r="F162" s="678"/>
      <c r="G162" s="693"/>
      <c r="H162" s="467"/>
      <c r="I162" s="469"/>
      <c r="J162" s="465"/>
      <c r="K162" s="467"/>
      <c r="L162" s="469"/>
      <c r="M162" s="465"/>
      <c r="N162" s="467"/>
      <c r="O162" s="469"/>
      <c r="P162" s="465"/>
      <c r="Q162" s="467"/>
      <c r="R162" s="469"/>
      <c r="S162" s="465"/>
      <c r="T162" s="467"/>
      <c r="U162" s="469"/>
      <c r="V162" s="465"/>
      <c r="W162" s="467"/>
      <c r="X162" s="639"/>
      <c r="Y162" s="695"/>
      <c r="Z162" s="467"/>
      <c r="AA162" s="692"/>
      <c r="AB162" s="693"/>
      <c r="AC162" s="467"/>
      <c r="AD162" s="692"/>
      <c r="AE162" s="693"/>
      <c r="AF162" s="467"/>
      <c r="AG162" s="469"/>
      <c r="AH162" s="695"/>
      <c r="AI162" s="467"/>
      <c r="AJ162" s="692"/>
      <c r="AK162" s="693"/>
      <c r="AL162" s="467"/>
      <c r="AM162" s="469"/>
      <c r="AN162" s="693"/>
      <c r="AO162" s="467"/>
      <c r="AP162" s="469"/>
      <c r="AQ162" s="693"/>
      <c r="AR162" s="467"/>
      <c r="AS162" s="469"/>
      <c r="AT162" s="693"/>
      <c r="AU162" s="467"/>
      <c r="AV162" s="469"/>
      <c r="AW162" s="515"/>
      <c r="AX162" s="513"/>
    </row>
    <row r="163" spans="1:50">
      <c r="A163" s="679" t="s">
        <v>75</v>
      </c>
      <c r="B163" s="613">
        <v>2393</v>
      </c>
      <c r="C163" s="680">
        <v>1700725</v>
      </c>
      <c r="D163" s="619" t="s">
        <v>76</v>
      </c>
      <c r="E163" s="684" t="s">
        <v>60</v>
      </c>
      <c r="F163" s="303"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89"/>
      <c r="Z163" s="9">
        <f t="shared" ref="Z163:Z173" si="266">Y163-AA163</f>
        <v>0</v>
      </c>
      <c r="AA163" s="306"/>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679"/>
      <c r="B164" s="613"/>
      <c r="C164" s="680"/>
      <c r="D164" s="619"/>
      <c r="E164" s="684"/>
      <c r="F164" s="303" t="s">
        <v>33</v>
      </c>
      <c r="G164" s="25"/>
      <c r="H164" s="11">
        <f t="shared" si="260"/>
        <v>0</v>
      </c>
      <c r="I164" s="12"/>
      <c r="J164" s="3"/>
      <c r="K164" s="11">
        <f t="shared" si="261"/>
        <v>0</v>
      </c>
      <c r="L164" s="12"/>
      <c r="M164" s="408">
        <v>413880</v>
      </c>
      <c r="N164" s="409">
        <f t="shared" si="262"/>
        <v>0</v>
      </c>
      <c r="O164" s="410">
        <v>413880</v>
      </c>
      <c r="P164" s="3"/>
      <c r="Q164" s="11">
        <f t="shared" si="263"/>
        <v>0</v>
      </c>
      <c r="R164" s="12"/>
      <c r="S164" s="3"/>
      <c r="T164" s="11">
        <f t="shared" si="264"/>
        <v>0</v>
      </c>
      <c r="U164" s="12"/>
      <c r="V164" s="408">
        <v>107000</v>
      </c>
      <c r="W164" s="409">
        <f t="shared" si="265"/>
        <v>0</v>
      </c>
      <c r="X164" s="417">
        <v>107000</v>
      </c>
      <c r="Y164" s="189"/>
      <c r="Z164" s="11">
        <f t="shared" si="266"/>
        <v>0</v>
      </c>
      <c r="AA164" s="190"/>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679"/>
      <c r="B165" s="613"/>
      <c r="C165" s="680"/>
      <c r="D165" s="619"/>
      <c r="E165" s="684"/>
      <c r="F165" s="303"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89"/>
      <c r="Z165" s="11">
        <f t="shared" si="266"/>
        <v>0</v>
      </c>
      <c r="AA165" s="190"/>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679"/>
      <c r="B166" s="613"/>
      <c r="C166" s="680"/>
      <c r="D166" s="619"/>
      <c r="E166" s="684"/>
      <c r="F166" s="303" t="s">
        <v>36</v>
      </c>
      <c r="G166" s="25"/>
      <c r="H166" s="11">
        <f t="shared" si="260"/>
        <v>0</v>
      </c>
      <c r="I166" s="12"/>
      <c r="J166" s="3"/>
      <c r="K166" s="11">
        <f t="shared" si="261"/>
        <v>0</v>
      </c>
      <c r="L166" s="12"/>
      <c r="M166" s="3"/>
      <c r="N166" s="11">
        <f t="shared" si="262"/>
        <v>0</v>
      </c>
      <c r="O166" s="12"/>
      <c r="P166" s="3"/>
      <c r="Q166" s="11">
        <f t="shared" si="263"/>
        <v>0</v>
      </c>
      <c r="R166" s="12"/>
      <c r="S166" s="408">
        <v>2306555</v>
      </c>
      <c r="T166" s="409">
        <f t="shared" si="264"/>
        <v>0</v>
      </c>
      <c r="U166" s="410">
        <v>2306555</v>
      </c>
      <c r="V166" s="3"/>
      <c r="W166" s="11">
        <f t="shared" si="265"/>
        <v>0</v>
      </c>
      <c r="X166" s="127"/>
      <c r="Y166" s="189"/>
      <c r="Z166" s="11">
        <f t="shared" si="266"/>
        <v>0</v>
      </c>
      <c r="AA166" s="190"/>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679"/>
      <c r="B167" s="613"/>
      <c r="C167" s="680"/>
      <c r="D167" s="619"/>
      <c r="E167" s="684"/>
      <c r="F167" s="303"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89"/>
      <c r="Z167" s="11">
        <f t="shared" si="266"/>
        <v>0</v>
      </c>
      <c r="AA167" s="190"/>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679"/>
      <c r="B168" s="613"/>
      <c r="C168" s="680"/>
      <c r="D168" s="619"/>
      <c r="E168" s="684"/>
      <c r="F168" s="303" t="s">
        <v>39</v>
      </c>
      <c r="G168" s="25"/>
      <c r="H168" s="11"/>
      <c r="I168" s="12"/>
      <c r="J168" s="3"/>
      <c r="K168" s="11"/>
      <c r="L168" s="12"/>
      <c r="M168" s="3"/>
      <c r="N168" s="11"/>
      <c r="O168" s="12"/>
      <c r="P168" s="3"/>
      <c r="Q168" s="11"/>
      <c r="R168" s="12"/>
      <c r="S168" s="3"/>
      <c r="T168" s="11"/>
      <c r="U168" s="12"/>
      <c r="V168" s="3"/>
      <c r="W168" s="11"/>
      <c r="X168" s="127"/>
      <c r="Y168" s="191"/>
      <c r="Z168" s="20"/>
      <c r="AA168" s="190"/>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679"/>
      <c r="B169" s="613"/>
      <c r="C169" s="680"/>
      <c r="D169" s="619"/>
      <c r="E169" s="684"/>
      <c r="F169" s="303"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18">
        <v>134029</v>
      </c>
      <c r="Z169" s="418">
        <f>Y169-AA169</f>
        <v>0</v>
      </c>
      <c r="AA169" s="410">
        <v>134029</v>
      </c>
      <c r="AB169" s="25"/>
      <c r="AC169" s="11"/>
      <c r="AD169" s="12"/>
      <c r="AE169" s="451">
        <v>500000</v>
      </c>
      <c r="AF169" s="409">
        <f t="shared" si="268"/>
        <v>500000</v>
      </c>
      <c r="AG169" s="452"/>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679"/>
      <c r="B170" s="613"/>
      <c r="C170" s="680"/>
      <c r="D170" s="619"/>
      <c r="E170" s="684"/>
      <c r="F170" s="303" t="s">
        <v>65</v>
      </c>
      <c r="G170" s="25"/>
      <c r="H170" s="11"/>
      <c r="I170" s="12"/>
      <c r="J170" s="3"/>
      <c r="K170" s="11"/>
      <c r="L170" s="12"/>
      <c r="M170" s="3"/>
      <c r="N170" s="11"/>
      <c r="O170" s="12"/>
      <c r="P170" s="3"/>
      <c r="Q170" s="11"/>
      <c r="R170" s="12"/>
      <c r="S170" s="3"/>
      <c r="T170" s="11"/>
      <c r="U170" s="12"/>
      <c r="V170" s="3"/>
      <c r="W170" s="11">
        <f t="shared" si="265"/>
        <v>0</v>
      </c>
      <c r="X170" s="127"/>
      <c r="Y170" s="189"/>
      <c r="Z170" s="20">
        <f t="shared" si="266"/>
        <v>0</v>
      </c>
      <c r="AA170" s="190"/>
      <c r="AB170" s="307"/>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679"/>
      <c r="B171" s="613"/>
      <c r="C171" s="680"/>
      <c r="D171" s="619"/>
      <c r="E171" s="684"/>
      <c r="F171" s="303"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89"/>
      <c r="Z171" s="11">
        <f t="shared" si="266"/>
        <v>0</v>
      </c>
      <c r="AA171" s="190"/>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679"/>
      <c r="B172" s="613"/>
      <c r="C172" s="680"/>
      <c r="D172" s="619"/>
      <c r="E172" s="684"/>
      <c r="F172" s="303"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89"/>
      <c r="Z172" s="11">
        <f t="shared" si="266"/>
        <v>0</v>
      </c>
      <c r="AA172" s="190"/>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0">
        <f>AX169/AX164</f>
        <v>0.85555244832822186</v>
      </c>
    </row>
    <row r="173" spans="1:50">
      <c r="A173" s="662"/>
      <c r="B173" s="663"/>
      <c r="C173" s="681"/>
      <c r="D173" s="667"/>
      <c r="E173" s="669"/>
      <c r="F173" s="305" t="s">
        <v>44</v>
      </c>
      <c r="G173" s="292"/>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2"/>
      <c r="Z173" s="193">
        <f t="shared" si="266"/>
        <v>0</v>
      </c>
      <c r="AA173" s="194"/>
      <c r="AB173" s="292"/>
      <c r="AC173" s="16">
        <f t="shared" si="275"/>
        <v>0</v>
      </c>
      <c r="AD173" s="17"/>
      <c r="AE173" s="292"/>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1"/>
    </row>
    <row r="174" spans="1:50">
      <c r="A174" s="687" t="s">
        <v>18</v>
      </c>
      <c r="B174" s="688" t="s">
        <v>19</v>
      </c>
      <c r="C174" s="672" t="s">
        <v>20</v>
      </c>
      <c r="D174" s="688" t="s">
        <v>21</v>
      </c>
      <c r="E174" s="672" t="s">
        <v>22</v>
      </c>
      <c r="F174" s="689" t="s">
        <v>23</v>
      </c>
      <c r="G174" s="536" t="s">
        <v>24</v>
      </c>
      <c r="H174" s="494" t="s">
        <v>25</v>
      </c>
      <c r="I174" s="496" t="s">
        <v>26</v>
      </c>
      <c r="J174" s="504" t="s">
        <v>24</v>
      </c>
      <c r="K174" s="494" t="s">
        <v>25</v>
      </c>
      <c r="L174" s="496" t="s">
        <v>26</v>
      </c>
      <c r="M174" s="504" t="s">
        <v>24</v>
      </c>
      <c r="N174" s="494" t="s">
        <v>25</v>
      </c>
      <c r="O174" s="496" t="s">
        <v>26</v>
      </c>
      <c r="P174" s="504" t="s">
        <v>24</v>
      </c>
      <c r="Q174" s="494" t="s">
        <v>25</v>
      </c>
      <c r="R174" s="496" t="s">
        <v>26</v>
      </c>
      <c r="S174" s="504" t="s">
        <v>24</v>
      </c>
      <c r="T174" s="494" t="s">
        <v>25</v>
      </c>
      <c r="U174" s="496" t="s">
        <v>26</v>
      </c>
      <c r="V174" s="504" t="s">
        <v>24</v>
      </c>
      <c r="W174" s="494" t="s">
        <v>25</v>
      </c>
      <c r="X174" s="496" t="s">
        <v>26</v>
      </c>
      <c r="Y174" s="504" t="s">
        <v>24</v>
      </c>
      <c r="Z174" s="494" t="s">
        <v>25</v>
      </c>
      <c r="AA174" s="496" t="s">
        <v>26</v>
      </c>
      <c r="AB174" s="504" t="s">
        <v>24</v>
      </c>
      <c r="AC174" s="494" t="s">
        <v>25</v>
      </c>
      <c r="AD174" s="496" t="s">
        <v>26</v>
      </c>
      <c r="AE174" s="504" t="s">
        <v>24</v>
      </c>
      <c r="AF174" s="494" t="s">
        <v>25</v>
      </c>
      <c r="AG174" s="496" t="s">
        <v>26</v>
      </c>
      <c r="AH174" s="504" t="s">
        <v>24</v>
      </c>
      <c r="AI174" s="494" t="s">
        <v>25</v>
      </c>
      <c r="AJ174" s="496" t="s">
        <v>26</v>
      </c>
      <c r="AK174" s="504" t="s">
        <v>24</v>
      </c>
      <c r="AL174" s="494" t="s">
        <v>25</v>
      </c>
      <c r="AM174" s="496" t="s">
        <v>26</v>
      </c>
      <c r="AN174" s="504" t="s">
        <v>24</v>
      </c>
      <c r="AO174" s="494" t="s">
        <v>25</v>
      </c>
      <c r="AP174" s="496" t="s">
        <v>26</v>
      </c>
      <c r="AQ174" s="504" t="s">
        <v>24</v>
      </c>
      <c r="AR174" s="494" t="s">
        <v>25</v>
      </c>
      <c r="AS174" s="496" t="s">
        <v>26</v>
      </c>
      <c r="AT174" s="504" t="s">
        <v>24</v>
      </c>
      <c r="AU174" s="494" t="s">
        <v>25</v>
      </c>
      <c r="AV174" s="496" t="s">
        <v>26</v>
      </c>
      <c r="AW174" s="604" t="s">
        <v>24</v>
      </c>
      <c r="AX174" s="513" t="s">
        <v>27</v>
      </c>
    </row>
    <row r="175" spans="1:50">
      <c r="A175" s="676"/>
      <c r="B175" s="524"/>
      <c r="C175" s="494"/>
      <c r="D175" s="524"/>
      <c r="E175" s="494"/>
      <c r="F175" s="678"/>
      <c r="G175" s="536"/>
      <c r="H175" s="494"/>
      <c r="I175" s="496"/>
      <c r="J175" s="504"/>
      <c r="K175" s="494"/>
      <c r="L175" s="496"/>
      <c r="M175" s="504"/>
      <c r="N175" s="494"/>
      <c r="O175" s="496"/>
      <c r="P175" s="504"/>
      <c r="Q175" s="494"/>
      <c r="R175" s="496"/>
      <c r="S175" s="504"/>
      <c r="T175" s="494"/>
      <c r="U175" s="496"/>
      <c r="V175" s="504"/>
      <c r="W175" s="494"/>
      <c r="X175" s="496"/>
      <c r="Y175" s="504"/>
      <c r="Z175" s="494"/>
      <c r="AA175" s="496"/>
      <c r="AB175" s="504"/>
      <c r="AC175" s="494"/>
      <c r="AD175" s="496"/>
      <c r="AE175" s="504"/>
      <c r="AF175" s="494"/>
      <c r="AG175" s="496"/>
      <c r="AH175" s="504"/>
      <c r="AI175" s="494"/>
      <c r="AJ175" s="496"/>
      <c r="AK175" s="504"/>
      <c r="AL175" s="494"/>
      <c r="AM175" s="496"/>
      <c r="AN175" s="504"/>
      <c r="AO175" s="494"/>
      <c r="AP175" s="496"/>
      <c r="AQ175" s="504"/>
      <c r="AR175" s="494"/>
      <c r="AS175" s="496"/>
      <c r="AT175" s="504"/>
      <c r="AU175" s="494"/>
      <c r="AV175" s="496"/>
      <c r="AW175" s="604"/>
      <c r="AX175" s="513"/>
    </row>
    <row r="176" spans="1:50">
      <c r="A176" s="661" t="s">
        <v>77</v>
      </c>
      <c r="B176" s="722" t="s">
        <v>78</v>
      </c>
      <c r="C176" s="710">
        <v>2300016</v>
      </c>
      <c r="D176" s="610" t="s">
        <v>79</v>
      </c>
      <c r="E176" s="668" t="s">
        <v>80</v>
      </c>
      <c r="F176" s="308"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661"/>
      <c r="B177" s="722"/>
      <c r="C177" s="710"/>
      <c r="D177" s="610"/>
      <c r="E177" s="668"/>
      <c r="F177" s="303"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661"/>
      <c r="B178" s="722"/>
      <c r="C178" s="710"/>
      <c r="D178" s="610"/>
      <c r="E178" s="668"/>
      <c r="F178" s="303"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661"/>
      <c r="B179" s="722"/>
      <c r="C179" s="710"/>
      <c r="D179" s="610"/>
      <c r="E179" s="668"/>
      <c r="F179" s="303"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661"/>
      <c r="B180" s="722"/>
      <c r="C180" s="710"/>
      <c r="D180" s="610"/>
      <c r="E180" s="668"/>
      <c r="F180" s="303"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661"/>
      <c r="B181" s="722"/>
      <c r="C181" s="710"/>
      <c r="D181" s="610"/>
      <c r="E181" s="668"/>
      <c r="F181" s="303"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661"/>
      <c r="B182" s="722"/>
      <c r="C182" s="710"/>
      <c r="D182" s="610"/>
      <c r="E182" s="668"/>
      <c r="F182" s="303"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661"/>
      <c r="B183" s="722"/>
      <c r="C183" s="710"/>
      <c r="D183" s="610"/>
      <c r="E183" s="668"/>
      <c r="F183" s="303"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661"/>
      <c r="B184" s="722"/>
      <c r="C184" s="710"/>
      <c r="D184" s="610"/>
      <c r="E184" s="668"/>
      <c r="F184" s="303"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0">
        <f>AX182/AX177</f>
        <v>1</v>
      </c>
    </row>
    <row r="185" spans="1:50">
      <c r="A185" s="662"/>
      <c r="B185" s="723"/>
      <c r="C185" s="681"/>
      <c r="D185" s="711"/>
      <c r="E185" s="669"/>
      <c r="F185" s="305" t="s">
        <v>44</v>
      </c>
      <c r="G185" s="413">
        <v>127000</v>
      </c>
      <c r="H185" s="414">
        <f t="shared" si="276"/>
        <v>0</v>
      </c>
      <c r="I185" s="415">
        <v>127000</v>
      </c>
      <c r="J185" s="416">
        <v>127000</v>
      </c>
      <c r="K185" s="414">
        <f t="shared" si="277"/>
        <v>0</v>
      </c>
      <c r="L185" s="415">
        <v>127000</v>
      </c>
      <c r="M185" s="416">
        <v>127000</v>
      </c>
      <c r="N185" s="414">
        <f t="shared" si="278"/>
        <v>0</v>
      </c>
      <c r="O185" s="415">
        <v>127000</v>
      </c>
      <c r="P185" s="416">
        <v>127000</v>
      </c>
      <c r="Q185" s="414">
        <f t="shared" si="279"/>
        <v>0</v>
      </c>
      <c r="R185" s="415">
        <v>127000</v>
      </c>
      <c r="S185" s="416">
        <v>127000</v>
      </c>
      <c r="T185" s="414">
        <f t="shared" si="280"/>
        <v>0</v>
      </c>
      <c r="U185" s="415">
        <v>127000</v>
      </c>
      <c r="V185" s="416">
        <v>127000</v>
      </c>
      <c r="W185" s="414">
        <f t="shared" si="281"/>
        <v>0</v>
      </c>
      <c r="X185" s="415">
        <v>127000</v>
      </c>
      <c r="Y185" s="416">
        <v>127000</v>
      </c>
      <c r="Z185" s="414">
        <f t="shared" si="282"/>
        <v>0</v>
      </c>
      <c r="AA185" s="415">
        <v>127000</v>
      </c>
      <c r="AB185" s="416">
        <v>127000</v>
      </c>
      <c r="AC185" s="414">
        <f t="shared" si="283"/>
        <v>0</v>
      </c>
      <c r="AD185" s="415">
        <v>127000</v>
      </c>
      <c r="AE185" s="416">
        <v>127000</v>
      </c>
      <c r="AF185" s="414">
        <f t="shared" si="284"/>
        <v>0</v>
      </c>
      <c r="AG185" s="415">
        <v>127000</v>
      </c>
      <c r="AH185" s="416">
        <v>127000</v>
      </c>
      <c r="AI185" s="414">
        <f>AH185-AJ185</f>
        <v>0</v>
      </c>
      <c r="AJ185" s="415">
        <v>127000</v>
      </c>
      <c r="AK185" s="416">
        <v>127000</v>
      </c>
      <c r="AL185" s="414">
        <f>AK185-AM185</f>
        <v>127000</v>
      </c>
      <c r="AM185" s="415"/>
      <c r="AN185" s="416">
        <v>127000</v>
      </c>
      <c r="AO185" s="414">
        <f>AN185-AP185</f>
        <v>127000</v>
      </c>
      <c r="AP185" s="415"/>
      <c r="AQ185" s="416">
        <v>127000</v>
      </c>
      <c r="AR185" s="414">
        <f>AQ185-AS185</f>
        <v>127000</v>
      </c>
      <c r="AS185" s="415"/>
      <c r="AT185" s="416">
        <v>127000</v>
      </c>
      <c r="AU185" s="414">
        <f t="shared" si="290"/>
        <v>127000</v>
      </c>
      <c r="AV185" s="415"/>
      <c r="AW185" s="24"/>
      <c r="AX185" s="65"/>
    </row>
    <row r="186" spans="1:50" ht="20.25" customHeight="1">
      <c r="A186" s="687" t="s">
        <v>18</v>
      </c>
      <c r="B186" s="688" t="s">
        <v>19</v>
      </c>
      <c r="C186" s="672" t="s">
        <v>20</v>
      </c>
      <c r="D186" s="688" t="s">
        <v>21</v>
      </c>
      <c r="E186" s="672" t="s">
        <v>22</v>
      </c>
      <c r="F186" s="689" t="s">
        <v>23</v>
      </c>
      <c r="G186" s="536" t="s">
        <v>24</v>
      </c>
      <c r="H186" s="494" t="s">
        <v>25</v>
      </c>
      <c r="I186" s="496" t="s">
        <v>26</v>
      </c>
      <c r="J186" s="536" t="s">
        <v>24</v>
      </c>
      <c r="K186" s="494" t="s">
        <v>25</v>
      </c>
      <c r="L186" s="496" t="s">
        <v>26</v>
      </c>
      <c r="M186" s="536" t="s">
        <v>24</v>
      </c>
      <c r="N186" s="494" t="s">
        <v>25</v>
      </c>
      <c r="O186" s="496" t="s">
        <v>26</v>
      </c>
      <c r="P186" s="536" t="s">
        <v>24</v>
      </c>
      <c r="Q186" s="494" t="s">
        <v>25</v>
      </c>
      <c r="R186" s="496" t="s">
        <v>26</v>
      </c>
      <c r="S186" s="536" t="s">
        <v>24</v>
      </c>
      <c r="T186" s="494" t="s">
        <v>25</v>
      </c>
      <c r="U186" s="496" t="s">
        <v>26</v>
      </c>
      <c r="V186" s="536" t="s">
        <v>24</v>
      </c>
      <c r="W186" s="494" t="s">
        <v>25</v>
      </c>
      <c r="X186" s="496" t="s">
        <v>26</v>
      </c>
      <c r="Y186" s="536" t="s">
        <v>24</v>
      </c>
      <c r="Z186" s="494" t="s">
        <v>25</v>
      </c>
      <c r="AA186" s="496" t="s">
        <v>26</v>
      </c>
      <c r="AB186" s="536" t="s">
        <v>24</v>
      </c>
      <c r="AC186" s="494" t="s">
        <v>25</v>
      </c>
      <c r="AD186" s="496" t="s">
        <v>26</v>
      </c>
      <c r="AE186" s="536" t="s">
        <v>24</v>
      </c>
      <c r="AF186" s="494" t="s">
        <v>25</v>
      </c>
      <c r="AG186" s="496" t="s">
        <v>26</v>
      </c>
      <c r="AH186" s="536" t="s">
        <v>24</v>
      </c>
      <c r="AI186" s="494" t="s">
        <v>25</v>
      </c>
      <c r="AJ186" s="496" t="s">
        <v>26</v>
      </c>
      <c r="AK186" s="536" t="s">
        <v>24</v>
      </c>
      <c r="AL186" s="494" t="s">
        <v>25</v>
      </c>
      <c r="AM186" s="496" t="s">
        <v>26</v>
      </c>
      <c r="AN186" s="536" t="s">
        <v>24</v>
      </c>
      <c r="AO186" s="494" t="s">
        <v>25</v>
      </c>
      <c r="AP186" s="496" t="s">
        <v>26</v>
      </c>
      <c r="AQ186" s="536" t="s">
        <v>24</v>
      </c>
      <c r="AR186" s="494" t="s">
        <v>25</v>
      </c>
      <c r="AS186" s="496" t="s">
        <v>26</v>
      </c>
      <c r="AT186" s="536" t="s">
        <v>24</v>
      </c>
      <c r="AU186" s="494" t="s">
        <v>25</v>
      </c>
      <c r="AV186" s="496" t="s">
        <v>26</v>
      </c>
      <c r="AW186" s="536" t="s">
        <v>24</v>
      </c>
      <c r="AX186" s="513" t="s">
        <v>27</v>
      </c>
    </row>
    <row r="187" spans="1:50" ht="25.5" customHeight="1">
      <c r="A187" s="676"/>
      <c r="B187" s="524"/>
      <c r="C187" s="494"/>
      <c r="D187" s="524"/>
      <c r="E187" s="494"/>
      <c r="F187" s="678"/>
      <c r="G187" s="536"/>
      <c r="H187" s="494"/>
      <c r="I187" s="496"/>
      <c r="J187" s="536"/>
      <c r="K187" s="494"/>
      <c r="L187" s="496"/>
      <c r="M187" s="536"/>
      <c r="N187" s="494"/>
      <c r="O187" s="496"/>
      <c r="P187" s="536"/>
      <c r="Q187" s="494"/>
      <c r="R187" s="496"/>
      <c r="S187" s="536"/>
      <c r="T187" s="494"/>
      <c r="U187" s="496"/>
      <c r="V187" s="536"/>
      <c r="W187" s="494"/>
      <c r="X187" s="496"/>
      <c r="Y187" s="536"/>
      <c r="Z187" s="494"/>
      <c r="AA187" s="496"/>
      <c r="AB187" s="536"/>
      <c r="AC187" s="494"/>
      <c r="AD187" s="496"/>
      <c r="AE187" s="536"/>
      <c r="AF187" s="494"/>
      <c r="AG187" s="496"/>
      <c r="AH187" s="536"/>
      <c r="AI187" s="494"/>
      <c r="AJ187" s="496"/>
      <c r="AK187" s="536"/>
      <c r="AL187" s="494"/>
      <c r="AM187" s="496"/>
      <c r="AN187" s="536"/>
      <c r="AO187" s="494"/>
      <c r="AP187" s="496"/>
      <c r="AQ187" s="536"/>
      <c r="AR187" s="494"/>
      <c r="AS187" s="496"/>
      <c r="AT187" s="536"/>
      <c r="AU187" s="494"/>
      <c r="AV187" s="496"/>
      <c r="AW187" s="536"/>
      <c r="AX187" s="513"/>
    </row>
    <row r="188" spans="1:50" ht="25.5" customHeight="1">
      <c r="A188" s="661" t="s">
        <v>81</v>
      </c>
      <c r="B188" s="592">
        <v>3009</v>
      </c>
      <c r="C188" s="664">
        <v>2100002</v>
      </c>
      <c r="D188" s="598" t="s">
        <v>82</v>
      </c>
      <c r="E188" s="668" t="s">
        <v>50</v>
      </c>
      <c r="F188" s="303"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08">
        <v>250000</v>
      </c>
      <c r="Z188" s="411">
        <f t="shared" ref="Z188" si="297">Y188-AA188</f>
        <v>0</v>
      </c>
      <c r="AA188" s="412">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661"/>
      <c r="B189" s="592"/>
      <c r="C189" s="664"/>
      <c r="D189" s="598"/>
      <c r="E189" s="668"/>
      <c r="F189" s="303" t="s">
        <v>33</v>
      </c>
      <c r="G189" s="25"/>
      <c r="H189" s="11">
        <f t="shared" si="291"/>
        <v>0</v>
      </c>
      <c r="I189" s="12"/>
      <c r="J189" s="3"/>
      <c r="K189" s="11">
        <f t="shared" si="292"/>
        <v>0</v>
      </c>
      <c r="L189" s="12"/>
      <c r="M189" s="3"/>
      <c r="N189" s="11">
        <f t="shared" si="293"/>
        <v>0</v>
      </c>
      <c r="O189" s="12"/>
      <c r="P189" s="3"/>
      <c r="Q189" s="11">
        <f t="shared" si="294"/>
        <v>0</v>
      </c>
      <c r="R189" s="12"/>
      <c r="S189" s="408">
        <f>SUM(36615+53693)</f>
        <v>90308</v>
      </c>
      <c r="T189" s="409">
        <f t="shared" si="295"/>
        <v>0</v>
      </c>
      <c r="U189" s="410">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661"/>
      <c r="B190" s="592"/>
      <c r="C190" s="664"/>
      <c r="D190" s="598"/>
      <c r="E190" s="668"/>
      <c r="F190" s="303"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661"/>
      <c r="B191" s="592"/>
      <c r="C191" s="664"/>
      <c r="D191" s="598"/>
      <c r="E191" s="668"/>
      <c r="F191" s="303"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661"/>
      <c r="B192" s="592"/>
      <c r="C192" s="664"/>
      <c r="D192" s="598"/>
      <c r="E192" s="668"/>
      <c r="F192" s="303"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661"/>
      <c r="B193" s="592"/>
      <c r="C193" s="664"/>
      <c r="D193" s="598"/>
      <c r="E193" s="668"/>
      <c r="F193" s="303"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661"/>
      <c r="B194" s="592"/>
      <c r="C194" s="664"/>
      <c r="D194" s="598"/>
      <c r="E194" s="668"/>
      <c r="F194" s="303"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661"/>
      <c r="B195" s="592"/>
      <c r="C195" s="664"/>
      <c r="D195" s="598"/>
      <c r="E195" s="668"/>
      <c r="F195" s="303"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661"/>
      <c r="B196" s="592"/>
      <c r="C196" s="664"/>
      <c r="D196" s="598"/>
      <c r="E196" s="668"/>
      <c r="F196" s="303"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661"/>
      <c r="B197" s="592"/>
      <c r="C197" s="664"/>
      <c r="D197" s="598"/>
      <c r="E197" s="668"/>
      <c r="F197" s="303"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0">
        <f>AX193/AX189</f>
        <v>1</v>
      </c>
    </row>
    <row r="198" spans="1:50" ht="13.5" customHeight="1">
      <c r="A198" s="662"/>
      <c r="B198" s="663"/>
      <c r="C198" s="665"/>
      <c r="D198" s="667"/>
      <c r="E198" s="669"/>
      <c r="F198" s="305" t="s">
        <v>44</v>
      </c>
      <c r="G198" s="292"/>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2"/>
      <c r="AC198" s="16">
        <f t="shared" si="313"/>
        <v>0</v>
      </c>
      <c r="AD198" s="17"/>
      <c r="AE198" s="292"/>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675" t="s">
        <v>18</v>
      </c>
      <c r="B199" s="491" t="s">
        <v>19</v>
      </c>
      <c r="C199" s="468" t="s">
        <v>20</v>
      </c>
      <c r="D199" s="491" t="s">
        <v>21</v>
      </c>
      <c r="E199" s="468" t="s">
        <v>22</v>
      </c>
      <c r="F199" s="677" t="s">
        <v>23</v>
      </c>
      <c r="G199" s="536" t="s">
        <v>24</v>
      </c>
      <c r="H199" s="494" t="s">
        <v>25</v>
      </c>
      <c r="I199" s="496" t="s">
        <v>26</v>
      </c>
      <c r="J199" s="536" t="s">
        <v>24</v>
      </c>
      <c r="K199" s="494" t="s">
        <v>25</v>
      </c>
      <c r="L199" s="496" t="s">
        <v>26</v>
      </c>
      <c r="M199" s="536" t="s">
        <v>24</v>
      </c>
      <c r="N199" s="494" t="s">
        <v>25</v>
      </c>
      <c r="O199" s="496" t="s">
        <v>26</v>
      </c>
      <c r="P199" s="536" t="s">
        <v>24</v>
      </c>
      <c r="Q199" s="494" t="s">
        <v>25</v>
      </c>
      <c r="R199" s="496" t="s">
        <v>26</v>
      </c>
      <c r="S199" s="536" t="s">
        <v>24</v>
      </c>
      <c r="T199" s="494" t="s">
        <v>25</v>
      </c>
      <c r="U199" s="496" t="s">
        <v>26</v>
      </c>
      <c r="V199" s="536" t="s">
        <v>24</v>
      </c>
      <c r="W199" s="494" t="s">
        <v>25</v>
      </c>
      <c r="X199" s="496" t="s">
        <v>26</v>
      </c>
      <c r="Y199" s="536" t="s">
        <v>24</v>
      </c>
      <c r="Z199" s="494" t="s">
        <v>25</v>
      </c>
      <c r="AA199" s="496" t="s">
        <v>26</v>
      </c>
      <c r="AB199" s="536" t="s">
        <v>24</v>
      </c>
      <c r="AC199" s="494" t="s">
        <v>25</v>
      </c>
      <c r="AD199" s="496" t="s">
        <v>26</v>
      </c>
      <c r="AE199" s="536" t="s">
        <v>24</v>
      </c>
      <c r="AF199" s="494" t="s">
        <v>25</v>
      </c>
      <c r="AG199" s="496" t="s">
        <v>26</v>
      </c>
      <c r="AH199" s="536" t="s">
        <v>24</v>
      </c>
      <c r="AI199" s="494" t="s">
        <v>25</v>
      </c>
      <c r="AJ199" s="496" t="s">
        <v>26</v>
      </c>
      <c r="AK199" s="536" t="s">
        <v>24</v>
      </c>
      <c r="AL199" s="494" t="s">
        <v>25</v>
      </c>
      <c r="AM199" s="496" t="s">
        <v>26</v>
      </c>
      <c r="AN199" s="536" t="s">
        <v>24</v>
      </c>
      <c r="AO199" s="494" t="s">
        <v>25</v>
      </c>
      <c r="AP199" s="496" t="s">
        <v>26</v>
      </c>
      <c r="AQ199" s="536" t="s">
        <v>24</v>
      </c>
      <c r="AR199" s="494" t="s">
        <v>25</v>
      </c>
      <c r="AS199" s="496" t="s">
        <v>26</v>
      </c>
      <c r="AT199" s="536" t="s">
        <v>24</v>
      </c>
      <c r="AU199" s="494" t="s">
        <v>25</v>
      </c>
      <c r="AV199" s="496" t="s">
        <v>26</v>
      </c>
      <c r="AW199" s="536" t="s">
        <v>24</v>
      </c>
      <c r="AX199" s="513" t="s">
        <v>27</v>
      </c>
    </row>
    <row r="200" spans="1:50" ht="13.5" customHeight="1">
      <c r="A200" s="676"/>
      <c r="B200" s="524"/>
      <c r="C200" s="494"/>
      <c r="D200" s="524"/>
      <c r="E200" s="494"/>
      <c r="F200" s="678"/>
      <c r="G200" s="536"/>
      <c r="H200" s="494"/>
      <c r="I200" s="496"/>
      <c r="J200" s="536"/>
      <c r="K200" s="494"/>
      <c r="L200" s="496"/>
      <c r="M200" s="536"/>
      <c r="N200" s="494"/>
      <c r="O200" s="496"/>
      <c r="P200" s="536"/>
      <c r="Q200" s="494"/>
      <c r="R200" s="496"/>
      <c r="S200" s="536"/>
      <c r="T200" s="494"/>
      <c r="U200" s="496"/>
      <c r="V200" s="536"/>
      <c r="W200" s="494"/>
      <c r="X200" s="496"/>
      <c r="Y200" s="536"/>
      <c r="Z200" s="494"/>
      <c r="AA200" s="496"/>
      <c r="AB200" s="536"/>
      <c r="AC200" s="494"/>
      <c r="AD200" s="496"/>
      <c r="AE200" s="536"/>
      <c r="AF200" s="494"/>
      <c r="AG200" s="496"/>
      <c r="AH200" s="536"/>
      <c r="AI200" s="494"/>
      <c r="AJ200" s="496"/>
      <c r="AK200" s="536"/>
      <c r="AL200" s="494"/>
      <c r="AM200" s="496"/>
      <c r="AN200" s="536"/>
      <c r="AO200" s="494"/>
      <c r="AP200" s="496"/>
      <c r="AQ200" s="536"/>
      <c r="AR200" s="494"/>
      <c r="AS200" s="496"/>
      <c r="AT200" s="536"/>
      <c r="AU200" s="494"/>
      <c r="AV200" s="496"/>
      <c r="AW200" s="536"/>
      <c r="AX200" s="513"/>
    </row>
    <row r="201" spans="1:50" ht="13.5" customHeight="1">
      <c r="A201" s="661" t="s">
        <v>83</v>
      </c>
      <c r="B201" s="592">
        <v>3010</v>
      </c>
      <c r="C201" s="664">
        <v>2100002</v>
      </c>
      <c r="D201" s="598" t="s">
        <v>84</v>
      </c>
      <c r="E201" s="668" t="s">
        <v>57</v>
      </c>
      <c r="F201" s="303"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08">
        <v>240000</v>
      </c>
      <c r="Z201" s="411">
        <f t="shared" ref="Z201" si="321">Y201-AA201</f>
        <v>0</v>
      </c>
      <c r="AA201" s="412">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661"/>
      <c r="B202" s="592"/>
      <c r="C202" s="664"/>
      <c r="D202" s="598"/>
      <c r="E202" s="668"/>
      <c r="F202" s="303" t="s">
        <v>33</v>
      </c>
      <c r="G202" s="25"/>
      <c r="H202" s="11">
        <f t="shared" si="315"/>
        <v>0</v>
      </c>
      <c r="I202" s="12"/>
      <c r="J202" s="3"/>
      <c r="K202" s="11">
        <f t="shared" si="316"/>
        <v>0</v>
      </c>
      <c r="L202" s="12"/>
      <c r="M202" s="3"/>
      <c r="N202" s="11">
        <f t="shared" si="317"/>
        <v>0</v>
      </c>
      <c r="O202" s="12"/>
      <c r="P202" s="3"/>
      <c r="Q202" s="11">
        <f t="shared" si="318"/>
        <v>0</v>
      </c>
      <c r="R202" s="12"/>
      <c r="S202" s="408">
        <f>SUM(36615+53693)</f>
        <v>90308</v>
      </c>
      <c r="T202" s="409">
        <f t="shared" si="319"/>
        <v>0</v>
      </c>
      <c r="U202" s="410">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661"/>
      <c r="B203" s="592"/>
      <c r="C203" s="664"/>
      <c r="D203" s="598"/>
      <c r="E203" s="668"/>
      <c r="F203" s="303"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661"/>
      <c r="B204" s="592"/>
      <c r="C204" s="664"/>
      <c r="D204" s="598"/>
      <c r="E204" s="668"/>
      <c r="F204" s="303"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661"/>
      <c r="B205" s="592"/>
      <c r="C205" s="664"/>
      <c r="D205" s="598"/>
      <c r="E205" s="668"/>
      <c r="F205" s="303"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661"/>
      <c r="B206" s="592"/>
      <c r="C206" s="664"/>
      <c r="D206" s="598"/>
      <c r="E206" s="668"/>
      <c r="F206" s="303"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661"/>
      <c r="B207" s="592"/>
      <c r="C207" s="664"/>
      <c r="D207" s="598"/>
      <c r="E207" s="668"/>
      <c r="F207" s="303"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661"/>
      <c r="B208" s="592"/>
      <c r="C208" s="664"/>
      <c r="D208" s="598"/>
      <c r="E208" s="668"/>
      <c r="F208" s="303"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661"/>
      <c r="B209" s="592"/>
      <c r="C209" s="664"/>
      <c r="D209" s="598"/>
      <c r="E209" s="668"/>
      <c r="F209" s="303"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661"/>
      <c r="B210" s="592"/>
      <c r="C210" s="664"/>
      <c r="D210" s="598"/>
      <c r="E210" s="668"/>
      <c r="F210" s="303"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0">
        <f>AX206/AX202</f>
        <v>1</v>
      </c>
    </row>
    <row r="211" spans="1:50">
      <c r="A211" s="662"/>
      <c r="B211" s="663"/>
      <c r="C211" s="665"/>
      <c r="D211" s="667"/>
      <c r="E211" s="669"/>
      <c r="F211" s="305" t="s">
        <v>44</v>
      </c>
      <c r="G211" s="292"/>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2"/>
      <c r="AC211" s="16">
        <f t="shared" si="337"/>
        <v>0</v>
      </c>
      <c r="AD211" s="17"/>
      <c r="AE211" s="292"/>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675" t="s">
        <v>18</v>
      </c>
      <c r="B212" s="491" t="s">
        <v>19</v>
      </c>
      <c r="C212" s="468" t="s">
        <v>20</v>
      </c>
      <c r="D212" s="491" t="s">
        <v>21</v>
      </c>
      <c r="E212" s="468" t="s">
        <v>22</v>
      </c>
      <c r="F212" s="677" t="s">
        <v>23</v>
      </c>
      <c r="G212" s="536" t="s">
        <v>24</v>
      </c>
      <c r="H212" s="494" t="s">
        <v>25</v>
      </c>
      <c r="I212" s="496" t="s">
        <v>26</v>
      </c>
      <c r="J212" s="536" t="s">
        <v>24</v>
      </c>
      <c r="K212" s="494" t="s">
        <v>25</v>
      </c>
      <c r="L212" s="496" t="s">
        <v>26</v>
      </c>
      <c r="M212" s="536" t="s">
        <v>24</v>
      </c>
      <c r="N212" s="494" t="s">
        <v>25</v>
      </c>
      <c r="O212" s="496" t="s">
        <v>26</v>
      </c>
      <c r="P212" s="536" t="s">
        <v>24</v>
      </c>
      <c r="Q212" s="494" t="s">
        <v>25</v>
      </c>
      <c r="R212" s="496" t="s">
        <v>26</v>
      </c>
      <c r="S212" s="536" t="s">
        <v>24</v>
      </c>
      <c r="T212" s="494" t="s">
        <v>25</v>
      </c>
      <c r="U212" s="496" t="s">
        <v>26</v>
      </c>
      <c r="V212" s="536" t="s">
        <v>24</v>
      </c>
      <c r="W212" s="494" t="s">
        <v>25</v>
      </c>
      <c r="X212" s="496" t="s">
        <v>26</v>
      </c>
      <c r="Y212" s="536" t="s">
        <v>24</v>
      </c>
      <c r="Z212" s="494" t="s">
        <v>25</v>
      </c>
      <c r="AA212" s="496" t="s">
        <v>26</v>
      </c>
      <c r="AB212" s="536" t="s">
        <v>24</v>
      </c>
      <c r="AC212" s="494" t="s">
        <v>25</v>
      </c>
      <c r="AD212" s="496" t="s">
        <v>26</v>
      </c>
      <c r="AE212" s="536" t="s">
        <v>24</v>
      </c>
      <c r="AF212" s="494" t="s">
        <v>25</v>
      </c>
      <c r="AG212" s="496" t="s">
        <v>26</v>
      </c>
      <c r="AH212" s="536" t="s">
        <v>24</v>
      </c>
      <c r="AI212" s="494" t="s">
        <v>25</v>
      </c>
      <c r="AJ212" s="496" t="s">
        <v>26</v>
      </c>
      <c r="AK212" s="536" t="s">
        <v>24</v>
      </c>
      <c r="AL212" s="494" t="s">
        <v>25</v>
      </c>
      <c r="AM212" s="496" t="s">
        <v>26</v>
      </c>
      <c r="AN212" s="536" t="s">
        <v>24</v>
      </c>
      <c r="AO212" s="494" t="s">
        <v>25</v>
      </c>
      <c r="AP212" s="496" t="s">
        <v>26</v>
      </c>
      <c r="AQ212" s="536" t="s">
        <v>24</v>
      </c>
      <c r="AR212" s="494" t="s">
        <v>25</v>
      </c>
      <c r="AS212" s="496" t="s">
        <v>26</v>
      </c>
      <c r="AT212" s="536" t="s">
        <v>24</v>
      </c>
      <c r="AU212" s="494" t="s">
        <v>25</v>
      </c>
      <c r="AV212" s="496" t="s">
        <v>26</v>
      </c>
      <c r="AW212" s="536" t="s">
        <v>24</v>
      </c>
      <c r="AX212" s="513" t="s">
        <v>27</v>
      </c>
    </row>
    <row r="213" spans="1:50">
      <c r="A213" s="676"/>
      <c r="B213" s="524"/>
      <c r="C213" s="494"/>
      <c r="D213" s="524"/>
      <c r="E213" s="494"/>
      <c r="F213" s="678"/>
      <c r="G213" s="536"/>
      <c r="H213" s="494"/>
      <c r="I213" s="496"/>
      <c r="J213" s="536"/>
      <c r="K213" s="494"/>
      <c r="L213" s="496"/>
      <c r="M213" s="536"/>
      <c r="N213" s="494"/>
      <c r="O213" s="496"/>
      <c r="P213" s="536"/>
      <c r="Q213" s="494"/>
      <c r="R213" s="496"/>
      <c r="S213" s="536"/>
      <c r="T213" s="494"/>
      <c r="U213" s="496"/>
      <c r="V213" s="536"/>
      <c r="W213" s="494"/>
      <c r="X213" s="496"/>
      <c r="Y213" s="536"/>
      <c r="Z213" s="494"/>
      <c r="AA213" s="496"/>
      <c r="AB213" s="536"/>
      <c r="AC213" s="494"/>
      <c r="AD213" s="496"/>
      <c r="AE213" s="536"/>
      <c r="AF213" s="494"/>
      <c r="AG213" s="496"/>
      <c r="AH213" s="536"/>
      <c r="AI213" s="494"/>
      <c r="AJ213" s="496"/>
      <c r="AK213" s="536"/>
      <c r="AL213" s="494"/>
      <c r="AM213" s="496"/>
      <c r="AN213" s="536"/>
      <c r="AO213" s="494"/>
      <c r="AP213" s="496"/>
      <c r="AQ213" s="536"/>
      <c r="AR213" s="494"/>
      <c r="AS213" s="496"/>
      <c r="AT213" s="536"/>
      <c r="AU213" s="494"/>
      <c r="AV213" s="496"/>
      <c r="AW213" s="536"/>
      <c r="AX213" s="513"/>
    </row>
    <row r="214" spans="1:50">
      <c r="A214" s="661" t="s">
        <v>85</v>
      </c>
      <c r="B214" s="592">
        <v>3011</v>
      </c>
      <c r="C214" s="664" t="s">
        <v>86</v>
      </c>
      <c r="D214" s="598" t="s">
        <v>87</v>
      </c>
      <c r="E214" s="668" t="s">
        <v>88</v>
      </c>
      <c r="F214" s="303"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661"/>
      <c r="B215" s="592"/>
      <c r="C215" s="664"/>
      <c r="D215" s="598"/>
      <c r="E215" s="668"/>
      <c r="F215" s="303" t="s">
        <v>33</v>
      </c>
      <c r="G215" s="25"/>
      <c r="H215" s="11">
        <f t="shared" si="339"/>
        <v>0</v>
      </c>
      <c r="I215" s="12"/>
      <c r="J215" s="3"/>
      <c r="K215" s="11">
        <f t="shared" si="340"/>
        <v>0</v>
      </c>
      <c r="L215" s="12"/>
      <c r="M215" s="3"/>
      <c r="N215" s="11">
        <f t="shared" si="341"/>
        <v>0</v>
      </c>
      <c r="O215" s="12"/>
      <c r="P215" s="3"/>
      <c r="Q215" s="11">
        <f t="shared" si="342"/>
        <v>0</v>
      </c>
      <c r="R215" s="12"/>
      <c r="S215" s="408">
        <f>SUM(36615+53693)</f>
        <v>90308</v>
      </c>
      <c r="T215" s="409">
        <f t="shared" si="343"/>
        <v>0</v>
      </c>
      <c r="U215" s="410">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661"/>
      <c r="B216" s="592"/>
      <c r="C216" s="664"/>
      <c r="D216" s="598"/>
      <c r="E216" s="668"/>
      <c r="F216" s="303"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661"/>
      <c r="B217" s="592"/>
      <c r="C217" s="664"/>
      <c r="D217" s="598"/>
      <c r="E217" s="668"/>
      <c r="F217" s="303"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661"/>
      <c r="B218" s="592"/>
      <c r="C218" s="664"/>
      <c r="D218" s="598"/>
      <c r="E218" s="668"/>
      <c r="F218" s="303"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661"/>
      <c r="B219" s="592"/>
      <c r="C219" s="664"/>
      <c r="D219" s="598"/>
      <c r="E219" s="668"/>
      <c r="F219" s="303"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661"/>
      <c r="B220" s="592"/>
      <c r="C220" s="664"/>
      <c r="D220" s="598"/>
      <c r="E220" s="668"/>
      <c r="F220" s="303"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661"/>
      <c r="B221" s="592"/>
      <c r="C221" s="664"/>
      <c r="D221" s="598"/>
      <c r="E221" s="668"/>
      <c r="F221" s="303"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661"/>
      <c r="B222" s="592"/>
      <c r="C222" s="664"/>
      <c r="D222" s="598"/>
      <c r="E222" s="668"/>
      <c r="F222" s="303"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661"/>
      <c r="B223" s="592"/>
      <c r="C223" s="664"/>
      <c r="D223" s="598"/>
      <c r="E223" s="668"/>
      <c r="F223" s="303"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08">
        <v>119997</v>
      </c>
      <c r="W223" s="409">
        <f t="shared" si="359"/>
        <v>0</v>
      </c>
      <c r="X223" s="410">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0">
        <f>AX219/AX215</f>
        <v>1</v>
      </c>
    </row>
    <row r="224" spans="1:50">
      <c r="A224" s="662"/>
      <c r="B224" s="663"/>
      <c r="C224" s="665"/>
      <c r="D224" s="667"/>
      <c r="E224" s="669"/>
      <c r="F224" s="305" t="s">
        <v>44</v>
      </c>
      <c r="G224" s="292"/>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2"/>
      <c r="AC224" s="16">
        <f t="shared" si="360"/>
        <v>0</v>
      </c>
      <c r="AD224" s="17"/>
      <c r="AE224" s="292"/>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675" t="s">
        <v>18</v>
      </c>
      <c r="B225" s="491" t="s">
        <v>19</v>
      </c>
      <c r="C225" s="468" t="s">
        <v>20</v>
      </c>
      <c r="D225" s="491" t="s">
        <v>21</v>
      </c>
      <c r="E225" s="468" t="s">
        <v>22</v>
      </c>
      <c r="F225" s="677" t="s">
        <v>23</v>
      </c>
      <c r="G225" s="536" t="s">
        <v>24</v>
      </c>
      <c r="H225" s="494" t="s">
        <v>25</v>
      </c>
      <c r="I225" s="496" t="s">
        <v>26</v>
      </c>
      <c r="J225" s="536" t="s">
        <v>24</v>
      </c>
      <c r="K225" s="494" t="s">
        <v>25</v>
      </c>
      <c r="L225" s="496" t="s">
        <v>26</v>
      </c>
      <c r="M225" s="536" t="s">
        <v>24</v>
      </c>
      <c r="N225" s="494" t="s">
        <v>25</v>
      </c>
      <c r="O225" s="496" t="s">
        <v>26</v>
      </c>
      <c r="P225" s="536" t="s">
        <v>24</v>
      </c>
      <c r="Q225" s="494" t="s">
        <v>25</v>
      </c>
      <c r="R225" s="496" t="s">
        <v>26</v>
      </c>
      <c r="S225" s="536" t="s">
        <v>24</v>
      </c>
      <c r="T225" s="494" t="s">
        <v>25</v>
      </c>
      <c r="U225" s="496" t="s">
        <v>26</v>
      </c>
      <c r="V225" s="536" t="s">
        <v>24</v>
      </c>
      <c r="W225" s="494" t="s">
        <v>25</v>
      </c>
      <c r="X225" s="496" t="s">
        <v>26</v>
      </c>
      <c r="Y225" s="536" t="s">
        <v>24</v>
      </c>
      <c r="Z225" s="494" t="s">
        <v>25</v>
      </c>
      <c r="AA225" s="496" t="s">
        <v>26</v>
      </c>
      <c r="AB225" s="536" t="s">
        <v>24</v>
      </c>
      <c r="AC225" s="494" t="s">
        <v>25</v>
      </c>
      <c r="AD225" s="496" t="s">
        <v>26</v>
      </c>
      <c r="AE225" s="536" t="s">
        <v>24</v>
      </c>
      <c r="AF225" s="494" t="s">
        <v>25</v>
      </c>
      <c r="AG225" s="496" t="s">
        <v>26</v>
      </c>
      <c r="AH225" s="536" t="s">
        <v>24</v>
      </c>
      <c r="AI225" s="494" t="s">
        <v>25</v>
      </c>
      <c r="AJ225" s="496" t="s">
        <v>26</v>
      </c>
      <c r="AK225" s="536" t="s">
        <v>24</v>
      </c>
      <c r="AL225" s="494" t="s">
        <v>25</v>
      </c>
      <c r="AM225" s="496" t="s">
        <v>26</v>
      </c>
      <c r="AN225" s="536" t="s">
        <v>24</v>
      </c>
      <c r="AO225" s="494" t="s">
        <v>25</v>
      </c>
      <c r="AP225" s="496" t="s">
        <v>26</v>
      </c>
      <c r="AQ225" s="536" t="s">
        <v>24</v>
      </c>
      <c r="AR225" s="494" t="s">
        <v>25</v>
      </c>
      <c r="AS225" s="496" t="s">
        <v>26</v>
      </c>
      <c r="AT225" s="536" t="s">
        <v>24</v>
      </c>
      <c r="AU225" s="494" t="s">
        <v>25</v>
      </c>
      <c r="AV225" s="496" t="s">
        <v>26</v>
      </c>
      <c r="AW225" s="536" t="s">
        <v>24</v>
      </c>
      <c r="AX225" s="513" t="s">
        <v>27</v>
      </c>
    </row>
    <row r="226" spans="1:50">
      <c r="A226" s="676"/>
      <c r="B226" s="524"/>
      <c r="C226" s="494"/>
      <c r="D226" s="524"/>
      <c r="E226" s="494"/>
      <c r="F226" s="678"/>
      <c r="G226" s="536"/>
      <c r="H226" s="494"/>
      <c r="I226" s="496"/>
      <c r="J226" s="536"/>
      <c r="K226" s="494"/>
      <c r="L226" s="496"/>
      <c r="M226" s="536"/>
      <c r="N226" s="494"/>
      <c r="O226" s="496"/>
      <c r="P226" s="536"/>
      <c r="Q226" s="494"/>
      <c r="R226" s="496"/>
      <c r="S226" s="536"/>
      <c r="T226" s="494"/>
      <c r="U226" s="496"/>
      <c r="V226" s="536"/>
      <c r="W226" s="494"/>
      <c r="X226" s="496"/>
      <c r="Y226" s="536"/>
      <c r="Z226" s="494"/>
      <c r="AA226" s="496"/>
      <c r="AB226" s="536"/>
      <c r="AC226" s="494"/>
      <c r="AD226" s="496"/>
      <c r="AE226" s="536"/>
      <c r="AF226" s="494"/>
      <c r="AG226" s="496"/>
      <c r="AH226" s="536"/>
      <c r="AI226" s="494"/>
      <c r="AJ226" s="496"/>
      <c r="AK226" s="536"/>
      <c r="AL226" s="494"/>
      <c r="AM226" s="496"/>
      <c r="AN226" s="536"/>
      <c r="AO226" s="494"/>
      <c r="AP226" s="496"/>
      <c r="AQ226" s="536"/>
      <c r="AR226" s="494"/>
      <c r="AS226" s="496"/>
      <c r="AT226" s="536"/>
      <c r="AU226" s="494"/>
      <c r="AV226" s="496"/>
      <c r="AW226" s="536"/>
      <c r="AX226" s="513"/>
    </row>
    <row r="227" spans="1:50">
      <c r="A227" s="661" t="s">
        <v>89</v>
      </c>
      <c r="B227" s="592">
        <v>3366</v>
      </c>
      <c r="C227" s="664">
        <v>2401835</v>
      </c>
      <c r="D227" s="666" t="s">
        <v>90</v>
      </c>
      <c r="E227" s="668" t="s">
        <v>50</v>
      </c>
      <c r="F227" s="303"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661"/>
      <c r="B228" s="592"/>
      <c r="C228" s="664"/>
      <c r="D228" s="598"/>
      <c r="E228" s="668"/>
      <c r="F228" s="303" t="s">
        <v>33</v>
      </c>
      <c r="G228" s="25"/>
      <c r="H228" s="11">
        <f t="shared" si="362"/>
        <v>0</v>
      </c>
      <c r="I228" s="12"/>
      <c r="J228" s="3"/>
      <c r="K228" s="11">
        <f t="shared" si="363"/>
        <v>0</v>
      </c>
      <c r="L228" s="12"/>
      <c r="M228" s="3"/>
      <c r="N228" s="11">
        <f t="shared" si="364"/>
        <v>0</v>
      </c>
      <c r="O228" s="12"/>
      <c r="P228" s="3"/>
      <c r="Q228" s="11">
        <f t="shared" si="365"/>
        <v>0</v>
      </c>
      <c r="R228" s="12"/>
      <c r="S228" s="444"/>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661"/>
      <c r="B229" s="592"/>
      <c r="C229" s="664"/>
      <c r="D229" s="598"/>
      <c r="E229" s="668"/>
      <c r="F229" s="303"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661"/>
      <c r="B230" s="592"/>
      <c r="C230" s="664"/>
      <c r="D230" s="598"/>
      <c r="E230" s="668"/>
      <c r="F230" s="303"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08">
        <v>32000</v>
      </c>
      <c r="AL230" s="409">
        <f t="shared" si="372"/>
        <v>32000</v>
      </c>
      <c r="AM230" s="410"/>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661"/>
      <c r="B231" s="592"/>
      <c r="C231" s="664"/>
      <c r="D231" s="598"/>
      <c r="E231" s="668"/>
      <c r="F231" s="303"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661"/>
      <c r="B232" s="592"/>
      <c r="C232" s="664"/>
      <c r="D232" s="598"/>
      <c r="E232" s="668"/>
      <c r="F232" s="303"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661"/>
      <c r="B233" s="592"/>
      <c r="C233" s="664"/>
      <c r="D233" s="598"/>
      <c r="E233" s="668"/>
      <c r="F233" s="303"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08">
        <v>276000</v>
      </c>
      <c r="AR233" s="409">
        <f t="shared" ref="AR233:AR237" si="376">AQ233-AS233</f>
        <v>276000</v>
      </c>
      <c r="AS233" s="410"/>
      <c r="AT233" s="3"/>
      <c r="AU233" s="11"/>
      <c r="AV233" s="12"/>
      <c r="AW233" s="3"/>
      <c r="AX233" s="63"/>
    </row>
    <row r="234" spans="1:50">
      <c r="A234" s="661"/>
      <c r="B234" s="592"/>
      <c r="C234" s="664"/>
      <c r="D234" s="598"/>
      <c r="E234" s="668"/>
      <c r="F234" s="303"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08">
        <v>1852000</v>
      </c>
      <c r="AR234" s="409">
        <f t="shared" si="376"/>
        <v>1852000</v>
      </c>
      <c r="AS234" s="410"/>
      <c r="AT234" s="3"/>
      <c r="AU234" s="11">
        <f t="shared" ref="AU234:AU237" si="381">AT234-AV234</f>
        <v>0</v>
      </c>
      <c r="AV234" s="12"/>
      <c r="AW234" s="3"/>
      <c r="AX234" s="63"/>
    </row>
    <row r="235" spans="1:50">
      <c r="A235" s="661"/>
      <c r="B235" s="592"/>
      <c r="C235" s="664"/>
      <c r="D235" s="598"/>
      <c r="E235" s="668"/>
      <c r="F235" s="303"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661"/>
      <c r="B236" s="592"/>
      <c r="C236" s="664"/>
      <c r="D236" s="598"/>
      <c r="E236" s="668"/>
      <c r="F236" s="303"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4"/>
      <c r="Z236" s="444">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0" t="e">
        <f>AX232/AX228</f>
        <v>#DIV/0!</v>
      </c>
    </row>
    <row r="237" spans="1:50">
      <c r="A237" s="662"/>
      <c r="B237" s="663"/>
      <c r="C237" s="665"/>
      <c r="D237" s="667"/>
      <c r="E237" s="669"/>
      <c r="F237" s="305" t="s">
        <v>44</v>
      </c>
      <c r="G237" s="292"/>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2"/>
      <c r="AC237" s="16">
        <f t="shared" si="388"/>
        <v>0</v>
      </c>
      <c r="AD237" s="17"/>
      <c r="AE237" s="292"/>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675" t="s">
        <v>18</v>
      </c>
      <c r="B238" s="491" t="s">
        <v>19</v>
      </c>
      <c r="C238" s="468" t="s">
        <v>20</v>
      </c>
      <c r="D238" s="491" t="s">
        <v>21</v>
      </c>
      <c r="E238" s="468" t="s">
        <v>22</v>
      </c>
      <c r="F238" s="677" t="s">
        <v>23</v>
      </c>
      <c r="G238" s="536" t="s">
        <v>24</v>
      </c>
      <c r="H238" s="494" t="s">
        <v>25</v>
      </c>
      <c r="I238" s="496" t="s">
        <v>26</v>
      </c>
      <c r="J238" s="536" t="s">
        <v>24</v>
      </c>
      <c r="K238" s="494" t="s">
        <v>25</v>
      </c>
      <c r="L238" s="496" t="s">
        <v>26</v>
      </c>
      <c r="M238" s="536" t="s">
        <v>24</v>
      </c>
      <c r="N238" s="494" t="s">
        <v>25</v>
      </c>
      <c r="O238" s="496" t="s">
        <v>26</v>
      </c>
      <c r="P238" s="536" t="s">
        <v>24</v>
      </c>
      <c r="Q238" s="494" t="s">
        <v>25</v>
      </c>
      <c r="R238" s="496" t="s">
        <v>26</v>
      </c>
      <c r="S238" s="536" t="s">
        <v>24</v>
      </c>
      <c r="T238" s="494" t="s">
        <v>25</v>
      </c>
      <c r="U238" s="496" t="s">
        <v>26</v>
      </c>
      <c r="V238" s="536" t="s">
        <v>24</v>
      </c>
      <c r="W238" s="494" t="s">
        <v>25</v>
      </c>
      <c r="X238" s="496" t="s">
        <v>26</v>
      </c>
      <c r="Y238" s="536" t="s">
        <v>24</v>
      </c>
      <c r="Z238" s="494" t="s">
        <v>25</v>
      </c>
      <c r="AA238" s="496" t="s">
        <v>26</v>
      </c>
      <c r="AB238" s="536" t="s">
        <v>24</v>
      </c>
      <c r="AC238" s="494" t="s">
        <v>25</v>
      </c>
      <c r="AD238" s="496" t="s">
        <v>26</v>
      </c>
      <c r="AE238" s="536" t="s">
        <v>24</v>
      </c>
      <c r="AF238" s="494" t="s">
        <v>25</v>
      </c>
      <c r="AG238" s="496" t="s">
        <v>26</v>
      </c>
      <c r="AH238" s="536" t="s">
        <v>24</v>
      </c>
      <c r="AI238" s="494" t="s">
        <v>25</v>
      </c>
      <c r="AJ238" s="496" t="s">
        <v>26</v>
      </c>
      <c r="AK238" s="536" t="s">
        <v>24</v>
      </c>
      <c r="AL238" s="494" t="s">
        <v>25</v>
      </c>
      <c r="AM238" s="496" t="s">
        <v>26</v>
      </c>
      <c r="AN238" s="536" t="s">
        <v>24</v>
      </c>
      <c r="AO238" s="494" t="s">
        <v>25</v>
      </c>
      <c r="AP238" s="496" t="s">
        <v>26</v>
      </c>
      <c r="AQ238" s="536" t="s">
        <v>24</v>
      </c>
      <c r="AR238" s="494" t="s">
        <v>25</v>
      </c>
      <c r="AS238" s="496" t="s">
        <v>26</v>
      </c>
      <c r="AT238" s="536" t="s">
        <v>24</v>
      </c>
      <c r="AU238" s="494" t="s">
        <v>25</v>
      </c>
      <c r="AV238" s="496" t="s">
        <v>26</v>
      </c>
      <c r="AW238" s="536" t="s">
        <v>24</v>
      </c>
      <c r="AX238" s="513" t="s">
        <v>27</v>
      </c>
    </row>
    <row r="239" spans="1:50">
      <c r="A239" s="676"/>
      <c r="B239" s="524"/>
      <c r="C239" s="494"/>
      <c r="D239" s="524"/>
      <c r="E239" s="494"/>
      <c r="F239" s="678"/>
      <c r="G239" s="536"/>
      <c r="H239" s="494"/>
      <c r="I239" s="496"/>
      <c r="J239" s="536"/>
      <c r="K239" s="494"/>
      <c r="L239" s="496"/>
      <c r="M239" s="536"/>
      <c r="N239" s="494"/>
      <c r="O239" s="496"/>
      <c r="P239" s="536"/>
      <c r="Q239" s="494"/>
      <c r="R239" s="496"/>
      <c r="S239" s="536"/>
      <c r="T239" s="494"/>
      <c r="U239" s="496"/>
      <c r="V239" s="536"/>
      <c r="W239" s="494"/>
      <c r="X239" s="496"/>
      <c r="Y239" s="536"/>
      <c r="Z239" s="494"/>
      <c r="AA239" s="496"/>
      <c r="AB239" s="536"/>
      <c r="AC239" s="494"/>
      <c r="AD239" s="496"/>
      <c r="AE239" s="536"/>
      <c r="AF239" s="494"/>
      <c r="AG239" s="496"/>
      <c r="AH239" s="536"/>
      <c r="AI239" s="494"/>
      <c r="AJ239" s="496"/>
      <c r="AK239" s="536"/>
      <c r="AL239" s="494"/>
      <c r="AM239" s="496"/>
      <c r="AN239" s="536"/>
      <c r="AO239" s="494"/>
      <c r="AP239" s="496"/>
      <c r="AQ239" s="536"/>
      <c r="AR239" s="494"/>
      <c r="AS239" s="496"/>
      <c r="AT239" s="536"/>
      <c r="AU239" s="494"/>
      <c r="AV239" s="496"/>
      <c r="AW239" s="536"/>
      <c r="AX239" s="513"/>
    </row>
    <row r="240" spans="1:50">
      <c r="A240" s="661" t="s">
        <v>91</v>
      </c>
      <c r="B240" s="592" t="s">
        <v>92</v>
      </c>
      <c r="C240" s="664"/>
      <c r="D240" s="666" t="s">
        <v>93</v>
      </c>
      <c r="E240" s="668" t="s">
        <v>88</v>
      </c>
      <c r="F240" s="303"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18">
        <v>100000</v>
      </c>
      <c r="AF240" s="411">
        <f t="shared" ref="AF240:AF245" si="398">AE240-AG240</f>
        <v>0</v>
      </c>
      <c r="AG240" s="412">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661"/>
      <c r="B241" s="592"/>
      <c r="C241" s="664"/>
      <c r="D241" s="598"/>
      <c r="E241" s="668"/>
      <c r="F241" s="303" t="s">
        <v>33</v>
      </c>
      <c r="G241" s="25"/>
      <c r="H241" s="11">
        <f t="shared" si="390"/>
        <v>0</v>
      </c>
      <c r="I241" s="12"/>
      <c r="J241" s="3"/>
      <c r="K241" s="11">
        <f t="shared" si="391"/>
        <v>0</v>
      </c>
      <c r="L241" s="12"/>
      <c r="M241" s="3"/>
      <c r="N241" s="11">
        <f t="shared" si="392"/>
        <v>0</v>
      </c>
      <c r="O241" s="12"/>
      <c r="P241" s="3"/>
      <c r="Q241" s="11">
        <f t="shared" si="393"/>
        <v>0</v>
      </c>
      <c r="R241" s="12"/>
      <c r="S241" s="444"/>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661"/>
      <c r="B242" s="592"/>
      <c r="C242" s="664"/>
      <c r="D242" s="598"/>
      <c r="E242" s="668"/>
      <c r="F242" s="303"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661"/>
      <c r="B243" s="592"/>
      <c r="C243" s="664"/>
      <c r="D243" s="598"/>
      <c r="E243" s="668"/>
      <c r="F243" s="303"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661"/>
      <c r="B244" s="592"/>
      <c r="C244" s="664"/>
      <c r="D244" s="598"/>
      <c r="E244" s="668"/>
      <c r="F244" s="303"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661"/>
      <c r="B245" s="592"/>
      <c r="C245" s="664"/>
      <c r="D245" s="598"/>
      <c r="E245" s="668"/>
      <c r="F245" s="303"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661"/>
      <c r="B246" s="592"/>
      <c r="C246" s="664"/>
      <c r="D246" s="598"/>
      <c r="E246" s="668"/>
      <c r="F246" s="303"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4"/>
      <c r="AO246" s="166">
        <f t="shared" si="401"/>
        <v>0</v>
      </c>
      <c r="AP246" s="167"/>
      <c r="AQ246" s="3"/>
      <c r="AR246" s="11"/>
      <c r="AS246" s="12"/>
      <c r="AT246" s="3"/>
      <c r="AU246" s="11"/>
      <c r="AV246" s="12"/>
      <c r="AW246" s="3"/>
      <c r="AX246" s="63"/>
    </row>
    <row r="247" spans="1:50">
      <c r="A247" s="661"/>
      <c r="B247" s="592"/>
      <c r="C247" s="664"/>
      <c r="D247" s="598"/>
      <c r="E247" s="668"/>
      <c r="F247" s="303"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4"/>
      <c r="AO247" s="166">
        <f t="shared" si="401"/>
        <v>0</v>
      </c>
      <c r="AP247" s="167"/>
      <c r="AQ247" s="3"/>
      <c r="AR247" s="11">
        <f t="shared" ref="AR247:AR250" si="407">AQ247-AS247</f>
        <v>0</v>
      </c>
      <c r="AS247" s="12"/>
      <c r="AT247" s="3"/>
      <c r="AU247" s="11">
        <f t="shared" ref="AU247:AU250" si="408">AT247-AV247</f>
        <v>0</v>
      </c>
      <c r="AV247" s="12"/>
      <c r="AW247" s="3"/>
      <c r="AX247" s="63"/>
    </row>
    <row r="248" spans="1:50">
      <c r="A248" s="661"/>
      <c r="B248" s="592"/>
      <c r="C248" s="664"/>
      <c r="D248" s="598"/>
      <c r="E248" s="668"/>
      <c r="F248" s="303"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661"/>
      <c r="B249" s="592"/>
      <c r="C249" s="664"/>
      <c r="D249" s="598"/>
      <c r="E249" s="668"/>
      <c r="F249" s="303"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4"/>
      <c r="Z249" s="444">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0">
        <f>AX245/AX241</f>
        <v>1</v>
      </c>
    </row>
    <row r="250" spans="1:50" ht="15" customHeight="1">
      <c r="A250" s="662"/>
      <c r="B250" s="663"/>
      <c r="C250" s="665"/>
      <c r="D250" s="667"/>
      <c r="E250" s="669"/>
      <c r="F250" s="305" t="s">
        <v>44</v>
      </c>
      <c r="G250" s="292"/>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2"/>
      <c r="AC250" s="16">
        <f t="shared" si="415"/>
        <v>0</v>
      </c>
      <c r="AD250" s="17"/>
      <c r="AE250" s="292"/>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675" t="s">
        <v>18</v>
      </c>
      <c r="B251" s="491" t="s">
        <v>19</v>
      </c>
      <c r="C251" s="468" t="s">
        <v>20</v>
      </c>
      <c r="D251" s="491" t="s">
        <v>21</v>
      </c>
      <c r="E251" s="468" t="s">
        <v>22</v>
      </c>
      <c r="F251" s="677" t="s">
        <v>23</v>
      </c>
      <c r="G251" s="536" t="s">
        <v>24</v>
      </c>
      <c r="H251" s="494" t="s">
        <v>25</v>
      </c>
      <c r="I251" s="496" t="s">
        <v>26</v>
      </c>
      <c r="J251" s="536" t="s">
        <v>24</v>
      </c>
      <c r="K251" s="494" t="s">
        <v>25</v>
      </c>
      <c r="L251" s="496" t="s">
        <v>26</v>
      </c>
      <c r="M251" s="536" t="s">
        <v>24</v>
      </c>
      <c r="N251" s="494" t="s">
        <v>25</v>
      </c>
      <c r="O251" s="496" t="s">
        <v>26</v>
      </c>
      <c r="P251" s="536" t="s">
        <v>24</v>
      </c>
      <c r="Q251" s="494" t="s">
        <v>25</v>
      </c>
      <c r="R251" s="496" t="s">
        <v>26</v>
      </c>
      <c r="S251" s="536" t="s">
        <v>24</v>
      </c>
      <c r="T251" s="494" t="s">
        <v>25</v>
      </c>
      <c r="U251" s="496" t="s">
        <v>26</v>
      </c>
      <c r="V251" s="536" t="s">
        <v>24</v>
      </c>
      <c r="W251" s="494" t="s">
        <v>25</v>
      </c>
      <c r="X251" s="496" t="s">
        <v>26</v>
      </c>
      <c r="Y251" s="536" t="s">
        <v>24</v>
      </c>
      <c r="Z251" s="494" t="s">
        <v>25</v>
      </c>
      <c r="AA251" s="496" t="s">
        <v>26</v>
      </c>
      <c r="AB251" s="536" t="s">
        <v>24</v>
      </c>
      <c r="AC251" s="494" t="s">
        <v>25</v>
      </c>
      <c r="AD251" s="496" t="s">
        <v>26</v>
      </c>
      <c r="AE251" s="536" t="s">
        <v>24</v>
      </c>
      <c r="AF251" s="494" t="s">
        <v>25</v>
      </c>
      <c r="AG251" s="496" t="s">
        <v>26</v>
      </c>
      <c r="AH251" s="536" t="s">
        <v>24</v>
      </c>
      <c r="AI251" s="494" t="s">
        <v>25</v>
      </c>
      <c r="AJ251" s="496" t="s">
        <v>26</v>
      </c>
      <c r="AK251" s="536" t="s">
        <v>24</v>
      </c>
      <c r="AL251" s="494" t="s">
        <v>25</v>
      </c>
      <c r="AM251" s="496" t="s">
        <v>26</v>
      </c>
      <c r="AN251" s="536" t="s">
        <v>24</v>
      </c>
      <c r="AO251" s="494" t="s">
        <v>25</v>
      </c>
      <c r="AP251" s="496" t="s">
        <v>26</v>
      </c>
      <c r="AQ251" s="536" t="s">
        <v>24</v>
      </c>
      <c r="AR251" s="494" t="s">
        <v>25</v>
      </c>
      <c r="AS251" s="496" t="s">
        <v>26</v>
      </c>
      <c r="AT251" s="536" t="s">
        <v>24</v>
      </c>
      <c r="AU251" s="494" t="s">
        <v>25</v>
      </c>
      <c r="AV251" s="496" t="s">
        <v>26</v>
      </c>
      <c r="AW251" s="536" t="s">
        <v>24</v>
      </c>
      <c r="AX251" s="513" t="s">
        <v>27</v>
      </c>
    </row>
    <row r="252" spans="1:50">
      <c r="A252" s="676"/>
      <c r="B252" s="524"/>
      <c r="C252" s="494"/>
      <c r="D252" s="524"/>
      <c r="E252" s="494"/>
      <c r="F252" s="678"/>
      <c r="G252" s="536"/>
      <c r="H252" s="494"/>
      <c r="I252" s="496"/>
      <c r="J252" s="536"/>
      <c r="K252" s="494"/>
      <c r="L252" s="496"/>
      <c r="M252" s="536"/>
      <c r="N252" s="494"/>
      <c r="O252" s="496"/>
      <c r="P252" s="536"/>
      <c r="Q252" s="494"/>
      <c r="R252" s="496"/>
      <c r="S252" s="536"/>
      <c r="T252" s="494"/>
      <c r="U252" s="496"/>
      <c r="V252" s="536"/>
      <c r="W252" s="494"/>
      <c r="X252" s="496"/>
      <c r="Y252" s="536"/>
      <c r="Z252" s="494"/>
      <c r="AA252" s="496"/>
      <c r="AB252" s="536"/>
      <c r="AC252" s="494"/>
      <c r="AD252" s="496"/>
      <c r="AE252" s="536"/>
      <c r="AF252" s="494"/>
      <c r="AG252" s="496"/>
      <c r="AH252" s="536"/>
      <c r="AI252" s="494"/>
      <c r="AJ252" s="496"/>
      <c r="AK252" s="536"/>
      <c r="AL252" s="494"/>
      <c r="AM252" s="496"/>
      <c r="AN252" s="536"/>
      <c r="AO252" s="494"/>
      <c r="AP252" s="496"/>
      <c r="AQ252" s="536"/>
      <c r="AR252" s="494"/>
      <c r="AS252" s="496"/>
      <c r="AT252" s="536"/>
      <c r="AU252" s="494"/>
      <c r="AV252" s="496"/>
      <c r="AW252" s="536"/>
      <c r="AX252" s="513"/>
    </row>
    <row r="253" spans="1:50">
      <c r="A253" s="661" t="s">
        <v>94</v>
      </c>
      <c r="B253" s="592">
        <v>3368</v>
      </c>
      <c r="C253" s="664">
        <v>2401836</v>
      </c>
      <c r="D253" s="666" t="s">
        <v>95</v>
      </c>
      <c r="E253" s="668" t="s">
        <v>50</v>
      </c>
      <c r="F253" s="303"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661"/>
      <c r="B254" s="592"/>
      <c r="C254" s="664"/>
      <c r="D254" s="598"/>
      <c r="E254" s="668"/>
      <c r="F254" s="303" t="s">
        <v>33</v>
      </c>
      <c r="G254" s="25"/>
      <c r="H254" s="11">
        <f t="shared" si="417"/>
        <v>0</v>
      </c>
      <c r="I254" s="12"/>
      <c r="J254" s="3"/>
      <c r="K254" s="11">
        <f t="shared" si="418"/>
        <v>0</v>
      </c>
      <c r="L254" s="12"/>
      <c r="M254" s="3"/>
      <c r="N254" s="11">
        <f t="shared" si="419"/>
        <v>0</v>
      </c>
      <c r="O254" s="12"/>
      <c r="P254" s="3"/>
      <c r="Q254" s="11">
        <f t="shared" si="420"/>
        <v>0</v>
      </c>
      <c r="R254" s="12"/>
      <c r="S254" s="444"/>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661"/>
      <c r="B255" s="592"/>
      <c r="C255" s="664"/>
      <c r="D255" s="598"/>
      <c r="E255" s="668"/>
      <c r="F255" s="303"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661"/>
      <c r="B256" s="592"/>
      <c r="C256" s="664"/>
      <c r="D256" s="598"/>
      <c r="E256" s="668"/>
      <c r="F256" s="303"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661"/>
      <c r="B257" s="592"/>
      <c r="C257" s="664"/>
      <c r="D257" s="598"/>
      <c r="E257" s="668"/>
      <c r="F257" s="303"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661"/>
      <c r="B258" s="592"/>
      <c r="C258" s="664"/>
      <c r="D258" s="598"/>
      <c r="E258" s="668"/>
      <c r="F258" s="303"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661"/>
      <c r="B259" s="592"/>
      <c r="C259" s="664"/>
      <c r="D259" s="598"/>
      <c r="E259" s="668"/>
      <c r="F259" s="303"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08">
        <v>402029</v>
      </c>
      <c r="AO259" s="409">
        <f t="shared" ref="AO259:AO263" si="431">AN259-AP259</f>
        <v>402029</v>
      </c>
      <c r="AP259" s="410"/>
      <c r="AQ259" s="3"/>
      <c r="AR259" s="11"/>
      <c r="AS259" s="12"/>
      <c r="AT259" s="3"/>
      <c r="AU259" s="11"/>
      <c r="AV259" s="12"/>
      <c r="AW259" s="3"/>
      <c r="AX259" s="63"/>
    </row>
    <row r="260" spans="1:50">
      <c r="A260" s="661"/>
      <c r="B260" s="592"/>
      <c r="C260" s="664"/>
      <c r="D260" s="598"/>
      <c r="E260" s="668"/>
      <c r="F260" s="303"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08">
        <v>2680191</v>
      </c>
      <c r="AO260" s="409">
        <f t="shared" si="431"/>
        <v>2680191</v>
      </c>
      <c r="AP260" s="410"/>
      <c r="AQ260" s="3"/>
      <c r="AR260" s="11">
        <f t="shared" ref="AR260:AR263" si="435">AQ260-AS260</f>
        <v>0</v>
      </c>
      <c r="AS260" s="12"/>
      <c r="AT260" s="3"/>
      <c r="AU260" s="11">
        <f t="shared" ref="AU260:AU263" si="436">AT260-AV260</f>
        <v>0</v>
      </c>
      <c r="AV260" s="12"/>
      <c r="AW260" s="3"/>
      <c r="AX260" s="63"/>
    </row>
    <row r="261" spans="1:50">
      <c r="A261" s="661"/>
      <c r="B261" s="592"/>
      <c r="C261" s="664"/>
      <c r="D261" s="598"/>
      <c r="E261" s="668"/>
      <c r="F261" s="303"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661"/>
      <c r="B262" s="592"/>
      <c r="C262" s="664"/>
      <c r="D262" s="598"/>
      <c r="E262" s="668"/>
      <c r="F262" s="303"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4"/>
      <c r="Z262" s="444">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0" t="e">
        <f>AX258/AX254</f>
        <v>#DIV/0!</v>
      </c>
    </row>
    <row r="263" spans="1:50">
      <c r="A263" s="662"/>
      <c r="B263" s="663"/>
      <c r="C263" s="665"/>
      <c r="D263" s="667"/>
      <c r="E263" s="669"/>
      <c r="F263" s="305" t="s">
        <v>44</v>
      </c>
      <c r="G263" s="292"/>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2"/>
      <c r="AC263" s="16">
        <f t="shared" si="443"/>
        <v>0</v>
      </c>
      <c r="AD263" s="17"/>
      <c r="AE263" s="292"/>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675" t="s">
        <v>18</v>
      </c>
      <c r="B264" s="491" t="s">
        <v>19</v>
      </c>
      <c r="C264" s="468" t="s">
        <v>20</v>
      </c>
      <c r="D264" s="491" t="s">
        <v>21</v>
      </c>
      <c r="E264" s="468" t="s">
        <v>22</v>
      </c>
      <c r="F264" s="677" t="s">
        <v>23</v>
      </c>
      <c r="G264" s="536" t="s">
        <v>24</v>
      </c>
      <c r="H264" s="494" t="s">
        <v>25</v>
      </c>
      <c r="I264" s="496" t="s">
        <v>26</v>
      </c>
      <c r="J264" s="536" t="s">
        <v>24</v>
      </c>
      <c r="K264" s="494" t="s">
        <v>25</v>
      </c>
      <c r="L264" s="496" t="s">
        <v>26</v>
      </c>
      <c r="M264" s="536" t="s">
        <v>24</v>
      </c>
      <c r="N264" s="494" t="s">
        <v>25</v>
      </c>
      <c r="O264" s="496" t="s">
        <v>26</v>
      </c>
      <c r="P264" s="536" t="s">
        <v>24</v>
      </c>
      <c r="Q264" s="494" t="s">
        <v>25</v>
      </c>
      <c r="R264" s="496" t="s">
        <v>26</v>
      </c>
      <c r="S264" s="536" t="s">
        <v>24</v>
      </c>
      <c r="T264" s="494" t="s">
        <v>25</v>
      </c>
      <c r="U264" s="496" t="s">
        <v>26</v>
      </c>
      <c r="V264" s="536" t="s">
        <v>24</v>
      </c>
      <c r="W264" s="494" t="s">
        <v>25</v>
      </c>
      <c r="X264" s="496" t="s">
        <v>26</v>
      </c>
      <c r="Y264" s="536" t="s">
        <v>24</v>
      </c>
      <c r="Z264" s="494" t="s">
        <v>25</v>
      </c>
      <c r="AA264" s="496" t="s">
        <v>26</v>
      </c>
      <c r="AB264" s="536" t="s">
        <v>24</v>
      </c>
      <c r="AC264" s="494" t="s">
        <v>25</v>
      </c>
      <c r="AD264" s="496" t="s">
        <v>26</v>
      </c>
      <c r="AE264" s="536" t="s">
        <v>24</v>
      </c>
      <c r="AF264" s="494" t="s">
        <v>25</v>
      </c>
      <c r="AG264" s="496" t="s">
        <v>26</v>
      </c>
      <c r="AH264" s="536" t="s">
        <v>24</v>
      </c>
      <c r="AI264" s="494" t="s">
        <v>25</v>
      </c>
      <c r="AJ264" s="496" t="s">
        <v>26</v>
      </c>
      <c r="AK264" s="536" t="s">
        <v>24</v>
      </c>
      <c r="AL264" s="494" t="s">
        <v>25</v>
      </c>
      <c r="AM264" s="496" t="s">
        <v>26</v>
      </c>
      <c r="AN264" s="536" t="s">
        <v>24</v>
      </c>
      <c r="AO264" s="494" t="s">
        <v>25</v>
      </c>
      <c r="AP264" s="496" t="s">
        <v>26</v>
      </c>
      <c r="AQ264" s="536" t="s">
        <v>24</v>
      </c>
      <c r="AR264" s="494" t="s">
        <v>25</v>
      </c>
      <c r="AS264" s="496" t="s">
        <v>26</v>
      </c>
      <c r="AT264" s="536" t="s">
        <v>24</v>
      </c>
      <c r="AU264" s="494" t="s">
        <v>25</v>
      </c>
      <c r="AV264" s="496" t="s">
        <v>26</v>
      </c>
      <c r="AW264" s="536" t="s">
        <v>24</v>
      </c>
      <c r="AX264" s="513" t="s">
        <v>27</v>
      </c>
    </row>
    <row r="265" spans="1:50">
      <c r="A265" s="676"/>
      <c r="B265" s="524"/>
      <c r="C265" s="494"/>
      <c r="D265" s="524"/>
      <c r="E265" s="494"/>
      <c r="F265" s="678"/>
      <c r="G265" s="536"/>
      <c r="H265" s="494"/>
      <c r="I265" s="496"/>
      <c r="J265" s="536"/>
      <c r="K265" s="494"/>
      <c r="L265" s="496"/>
      <c r="M265" s="536"/>
      <c r="N265" s="494"/>
      <c r="O265" s="496"/>
      <c r="P265" s="536"/>
      <c r="Q265" s="494"/>
      <c r="R265" s="496"/>
      <c r="S265" s="536"/>
      <c r="T265" s="494"/>
      <c r="U265" s="496"/>
      <c r="V265" s="536"/>
      <c r="W265" s="494"/>
      <c r="X265" s="496"/>
      <c r="Y265" s="536"/>
      <c r="Z265" s="494"/>
      <c r="AA265" s="496"/>
      <c r="AB265" s="536"/>
      <c r="AC265" s="494"/>
      <c r="AD265" s="496"/>
      <c r="AE265" s="536"/>
      <c r="AF265" s="494"/>
      <c r="AG265" s="496"/>
      <c r="AH265" s="536"/>
      <c r="AI265" s="494"/>
      <c r="AJ265" s="496"/>
      <c r="AK265" s="536"/>
      <c r="AL265" s="494"/>
      <c r="AM265" s="496"/>
      <c r="AN265" s="536"/>
      <c r="AO265" s="494"/>
      <c r="AP265" s="496"/>
      <c r="AQ265" s="536"/>
      <c r="AR265" s="494"/>
      <c r="AS265" s="496"/>
      <c r="AT265" s="536"/>
      <c r="AU265" s="494"/>
      <c r="AV265" s="496"/>
      <c r="AW265" s="536"/>
      <c r="AX265" s="513"/>
    </row>
    <row r="266" spans="1:50" ht="15">
      <c r="A266" s="661" t="s">
        <v>96</v>
      </c>
      <c r="B266" s="592">
        <v>3365</v>
      </c>
      <c r="C266" s="664">
        <v>2401839</v>
      </c>
      <c r="D266" s="666" t="s">
        <v>97</v>
      </c>
      <c r="E266" s="668" t="s">
        <v>47</v>
      </c>
      <c r="F266" s="303"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661"/>
      <c r="B267" s="592"/>
      <c r="C267" s="664"/>
      <c r="D267" s="598"/>
      <c r="E267" s="668"/>
      <c r="F267" s="303" t="s">
        <v>33</v>
      </c>
      <c r="G267" s="25"/>
      <c r="H267" s="11">
        <f t="shared" si="445"/>
        <v>0</v>
      </c>
      <c r="I267" s="12"/>
      <c r="J267" s="3"/>
      <c r="K267" s="11">
        <f t="shared" si="446"/>
        <v>0</v>
      </c>
      <c r="L267" s="12"/>
      <c r="M267" s="3"/>
      <c r="N267" s="11">
        <f t="shared" si="447"/>
        <v>0</v>
      </c>
      <c r="O267" s="12"/>
      <c r="P267" s="3"/>
      <c r="Q267" s="11">
        <f t="shared" si="448"/>
        <v>0</v>
      </c>
      <c r="R267" s="12"/>
      <c r="S267" s="444"/>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661"/>
      <c r="B268" s="592"/>
      <c r="C268" s="664"/>
      <c r="D268" s="598"/>
      <c r="E268" s="668"/>
      <c r="F268" s="303"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661"/>
      <c r="B269" s="592"/>
      <c r="C269" s="664"/>
      <c r="D269" s="598"/>
      <c r="E269" s="668"/>
      <c r="F269" s="303"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661"/>
      <c r="B270" s="592"/>
      <c r="C270" s="664"/>
      <c r="D270" s="598"/>
      <c r="E270" s="668"/>
      <c r="F270" s="303"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661"/>
      <c r="B271" s="592"/>
      <c r="C271" s="664"/>
      <c r="D271" s="598"/>
      <c r="E271" s="668"/>
      <c r="F271" s="303"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661"/>
      <c r="B272" s="592"/>
      <c r="C272" s="664"/>
      <c r="D272" s="598"/>
      <c r="E272" s="668"/>
      <c r="F272" s="303"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661"/>
      <c r="B273" s="592"/>
      <c r="C273" s="664"/>
      <c r="D273" s="598"/>
      <c r="E273" s="668"/>
      <c r="F273" s="303"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661"/>
      <c r="B274" s="592"/>
      <c r="C274" s="664"/>
      <c r="D274" s="598"/>
      <c r="E274" s="668"/>
      <c r="F274" s="303"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661"/>
      <c r="B275" s="592"/>
      <c r="C275" s="664"/>
      <c r="D275" s="598"/>
      <c r="E275" s="668"/>
      <c r="F275" s="303"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4"/>
      <c r="Z275" s="444">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0" t="e">
        <f>AX271/AX267</f>
        <v>#DIV/0!</v>
      </c>
    </row>
    <row r="276" spans="1:50">
      <c r="A276" s="662"/>
      <c r="B276" s="663"/>
      <c r="C276" s="665"/>
      <c r="D276" s="667"/>
      <c r="E276" s="669"/>
      <c r="F276" s="305" t="s">
        <v>44</v>
      </c>
      <c r="G276" s="292"/>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2"/>
      <c r="AC276" s="16">
        <f t="shared" si="471"/>
        <v>0</v>
      </c>
      <c r="AD276" s="17"/>
      <c r="AE276" s="292"/>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675" t="s">
        <v>18</v>
      </c>
      <c r="B277" s="491" t="s">
        <v>19</v>
      </c>
      <c r="C277" s="468" t="s">
        <v>20</v>
      </c>
      <c r="D277" s="491" t="s">
        <v>21</v>
      </c>
      <c r="E277" s="468" t="s">
        <v>22</v>
      </c>
      <c r="F277" s="677" t="s">
        <v>23</v>
      </c>
      <c r="G277" s="536" t="s">
        <v>24</v>
      </c>
      <c r="H277" s="494" t="s">
        <v>25</v>
      </c>
      <c r="I277" s="496" t="s">
        <v>26</v>
      </c>
      <c r="J277" s="536" t="s">
        <v>24</v>
      </c>
      <c r="K277" s="494" t="s">
        <v>25</v>
      </c>
      <c r="L277" s="496" t="s">
        <v>26</v>
      </c>
      <c r="M277" s="536" t="s">
        <v>24</v>
      </c>
      <c r="N277" s="494" t="s">
        <v>25</v>
      </c>
      <c r="O277" s="496" t="s">
        <v>26</v>
      </c>
      <c r="P277" s="536" t="s">
        <v>24</v>
      </c>
      <c r="Q277" s="494" t="s">
        <v>25</v>
      </c>
      <c r="R277" s="496" t="s">
        <v>26</v>
      </c>
      <c r="S277" s="536" t="s">
        <v>24</v>
      </c>
      <c r="T277" s="494" t="s">
        <v>25</v>
      </c>
      <c r="U277" s="496" t="s">
        <v>26</v>
      </c>
      <c r="V277" s="536" t="s">
        <v>24</v>
      </c>
      <c r="W277" s="494" t="s">
        <v>25</v>
      </c>
      <c r="X277" s="496" t="s">
        <v>26</v>
      </c>
      <c r="Y277" s="536" t="s">
        <v>24</v>
      </c>
      <c r="Z277" s="494" t="s">
        <v>25</v>
      </c>
      <c r="AA277" s="496" t="s">
        <v>26</v>
      </c>
      <c r="AB277" s="536" t="s">
        <v>24</v>
      </c>
      <c r="AC277" s="494" t="s">
        <v>25</v>
      </c>
      <c r="AD277" s="496" t="s">
        <v>26</v>
      </c>
      <c r="AE277" s="536" t="s">
        <v>24</v>
      </c>
      <c r="AF277" s="494" t="s">
        <v>25</v>
      </c>
      <c r="AG277" s="496" t="s">
        <v>26</v>
      </c>
      <c r="AH277" s="536" t="s">
        <v>24</v>
      </c>
      <c r="AI277" s="494" t="s">
        <v>25</v>
      </c>
      <c r="AJ277" s="496" t="s">
        <v>26</v>
      </c>
      <c r="AK277" s="536" t="s">
        <v>24</v>
      </c>
      <c r="AL277" s="494" t="s">
        <v>25</v>
      </c>
      <c r="AM277" s="496" t="s">
        <v>26</v>
      </c>
      <c r="AN277" s="536" t="s">
        <v>24</v>
      </c>
      <c r="AO277" s="494" t="s">
        <v>25</v>
      </c>
      <c r="AP277" s="496" t="s">
        <v>26</v>
      </c>
      <c r="AQ277" s="536" t="s">
        <v>24</v>
      </c>
      <c r="AR277" s="494" t="s">
        <v>25</v>
      </c>
      <c r="AS277" s="496" t="s">
        <v>26</v>
      </c>
      <c r="AT277" s="536" t="s">
        <v>24</v>
      </c>
      <c r="AU277" s="494" t="s">
        <v>25</v>
      </c>
      <c r="AV277" s="496" t="s">
        <v>26</v>
      </c>
      <c r="AW277" s="536" t="s">
        <v>24</v>
      </c>
      <c r="AX277" s="513" t="s">
        <v>27</v>
      </c>
    </row>
    <row r="278" spans="1:50">
      <c r="A278" s="676"/>
      <c r="B278" s="524"/>
      <c r="C278" s="494"/>
      <c r="D278" s="524"/>
      <c r="E278" s="494"/>
      <c r="F278" s="678"/>
      <c r="G278" s="536"/>
      <c r="H278" s="494"/>
      <c r="I278" s="496"/>
      <c r="J278" s="536"/>
      <c r="K278" s="494"/>
      <c r="L278" s="496"/>
      <c r="M278" s="536"/>
      <c r="N278" s="494"/>
      <c r="O278" s="496"/>
      <c r="P278" s="536"/>
      <c r="Q278" s="494"/>
      <c r="R278" s="496"/>
      <c r="S278" s="536"/>
      <c r="T278" s="494"/>
      <c r="U278" s="496"/>
      <c r="V278" s="536"/>
      <c r="W278" s="494"/>
      <c r="X278" s="496"/>
      <c r="Y278" s="536"/>
      <c r="Z278" s="494"/>
      <c r="AA278" s="496"/>
      <c r="AB278" s="536"/>
      <c r="AC278" s="494"/>
      <c r="AD278" s="496"/>
      <c r="AE278" s="536"/>
      <c r="AF278" s="494"/>
      <c r="AG278" s="496"/>
      <c r="AH278" s="536"/>
      <c r="AI278" s="494"/>
      <c r="AJ278" s="496"/>
      <c r="AK278" s="536"/>
      <c r="AL278" s="494"/>
      <c r="AM278" s="496"/>
      <c r="AN278" s="536"/>
      <c r="AO278" s="494"/>
      <c r="AP278" s="496"/>
      <c r="AQ278" s="536"/>
      <c r="AR278" s="494"/>
      <c r="AS278" s="496"/>
      <c r="AT278" s="536"/>
      <c r="AU278" s="494"/>
      <c r="AV278" s="496"/>
      <c r="AW278" s="536"/>
      <c r="AX278" s="513"/>
    </row>
    <row r="279" spans="1:50">
      <c r="A279" s="661" t="s">
        <v>98</v>
      </c>
      <c r="B279" s="592">
        <v>3012</v>
      </c>
      <c r="C279" s="664" t="s">
        <v>86</v>
      </c>
      <c r="D279" s="598" t="s">
        <v>99</v>
      </c>
      <c r="E279" s="668" t="s">
        <v>88</v>
      </c>
      <c r="F279" s="303"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661"/>
      <c r="B280" s="592"/>
      <c r="C280" s="664"/>
      <c r="D280" s="598"/>
      <c r="E280" s="668"/>
      <c r="F280" s="303" t="s">
        <v>33</v>
      </c>
      <c r="G280" s="25"/>
      <c r="H280" s="11">
        <f t="shared" si="473"/>
        <v>0</v>
      </c>
      <c r="I280" s="12"/>
      <c r="J280" s="3"/>
      <c r="K280" s="11">
        <f t="shared" si="474"/>
        <v>0</v>
      </c>
      <c r="L280" s="12"/>
      <c r="M280" s="3"/>
      <c r="N280" s="11">
        <f t="shared" si="475"/>
        <v>0</v>
      </c>
      <c r="O280" s="12"/>
      <c r="P280" s="3"/>
      <c r="Q280" s="11">
        <f t="shared" si="476"/>
        <v>0</v>
      </c>
      <c r="R280" s="12"/>
      <c r="S280" s="408">
        <f>SUM(36615+53693)</f>
        <v>90308</v>
      </c>
      <c r="T280" s="409">
        <f t="shared" si="477"/>
        <v>0</v>
      </c>
      <c r="U280" s="410">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661"/>
      <c r="B281" s="592"/>
      <c r="C281" s="664"/>
      <c r="D281" s="598"/>
      <c r="E281" s="668"/>
      <c r="F281" s="303"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661"/>
      <c r="B282" s="592"/>
      <c r="C282" s="664"/>
      <c r="D282" s="598"/>
      <c r="E282" s="668"/>
      <c r="F282" s="303"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661"/>
      <c r="B283" s="592"/>
      <c r="C283" s="664"/>
      <c r="D283" s="598"/>
      <c r="E283" s="668"/>
      <c r="F283" s="303"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661"/>
      <c r="B284" s="592"/>
      <c r="C284" s="664"/>
      <c r="D284" s="598"/>
      <c r="E284" s="668"/>
      <c r="F284" s="303"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661"/>
      <c r="B285" s="592"/>
      <c r="C285" s="664"/>
      <c r="D285" s="598"/>
      <c r="E285" s="668"/>
      <c r="F285" s="303"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661"/>
      <c r="B286" s="592"/>
      <c r="C286" s="664"/>
      <c r="D286" s="598"/>
      <c r="E286" s="668"/>
      <c r="F286" s="303"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661"/>
      <c r="B287" s="592"/>
      <c r="C287" s="664"/>
      <c r="D287" s="598"/>
      <c r="E287" s="668"/>
      <c r="F287" s="303"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661"/>
      <c r="B288" s="592"/>
      <c r="C288" s="664"/>
      <c r="D288" s="598"/>
      <c r="E288" s="668"/>
      <c r="F288" s="303"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08">
        <v>324746</v>
      </c>
      <c r="Z288" s="408">
        <f t="shared" si="479"/>
        <v>0</v>
      </c>
      <c r="AA288" s="410">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0">
        <f>AX284/AX280</f>
        <v>1</v>
      </c>
    </row>
    <row r="289" spans="1:50">
      <c r="A289" s="662"/>
      <c r="B289" s="663"/>
      <c r="C289" s="665"/>
      <c r="D289" s="667"/>
      <c r="E289" s="669"/>
      <c r="F289" s="305" t="s">
        <v>44</v>
      </c>
      <c r="G289" s="292"/>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2"/>
      <c r="AC289" s="16">
        <f t="shared" si="494"/>
        <v>0</v>
      </c>
      <c r="AD289" s="17"/>
      <c r="AE289" s="292"/>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675" t="s">
        <v>18</v>
      </c>
      <c r="B290" s="491" t="s">
        <v>19</v>
      </c>
      <c r="C290" s="468" t="s">
        <v>20</v>
      </c>
      <c r="D290" s="491" t="s">
        <v>21</v>
      </c>
      <c r="E290" s="468" t="s">
        <v>22</v>
      </c>
      <c r="F290" s="677" t="s">
        <v>23</v>
      </c>
      <c r="G290" s="536" t="s">
        <v>24</v>
      </c>
      <c r="H290" s="494" t="s">
        <v>25</v>
      </c>
      <c r="I290" s="496" t="s">
        <v>26</v>
      </c>
      <c r="J290" s="536" t="s">
        <v>24</v>
      </c>
      <c r="K290" s="494" t="s">
        <v>25</v>
      </c>
      <c r="L290" s="496" t="s">
        <v>26</v>
      </c>
      <c r="M290" s="536" t="s">
        <v>24</v>
      </c>
      <c r="N290" s="494" t="s">
        <v>25</v>
      </c>
      <c r="O290" s="496" t="s">
        <v>26</v>
      </c>
      <c r="P290" s="536" t="s">
        <v>24</v>
      </c>
      <c r="Q290" s="494" t="s">
        <v>25</v>
      </c>
      <c r="R290" s="496" t="s">
        <v>26</v>
      </c>
      <c r="S290" s="536" t="s">
        <v>24</v>
      </c>
      <c r="T290" s="494" t="s">
        <v>25</v>
      </c>
      <c r="U290" s="496" t="s">
        <v>26</v>
      </c>
      <c r="V290" s="536" t="s">
        <v>24</v>
      </c>
      <c r="W290" s="494" t="s">
        <v>25</v>
      </c>
      <c r="X290" s="534" t="s">
        <v>26</v>
      </c>
      <c r="Y290" s="670" t="s">
        <v>24</v>
      </c>
      <c r="Z290" s="672" t="s">
        <v>25</v>
      </c>
      <c r="AA290" s="673" t="s">
        <v>26</v>
      </c>
      <c r="AB290" s="536" t="s">
        <v>24</v>
      </c>
      <c r="AC290" s="494" t="s">
        <v>25</v>
      </c>
      <c r="AD290" s="496" t="s">
        <v>26</v>
      </c>
      <c r="AE290" s="536" t="s">
        <v>24</v>
      </c>
      <c r="AF290" s="494" t="s">
        <v>25</v>
      </c>
      <c r="AG290" s="496" t="s">
        <v>26</v>
      </c>
      <c r="AH290" s="536" t="s">
        <v>24</v>
      </c>
      <c r="AI290" s="494" t="s">
        <v>25</v>
      </c>
      <c r="AJ290" s="496" t="s">
        <v>26</v>
      </c>
      <c r="AK290" s="536" t="s">
        <v>24</v>
      </c>
      <c r="AL290" s="494" t="s">
        <v>25</v>
      </c>
      <c r="AM290" s="496" t="s">
        <v>26</v>
      </c>
      <c r="AN290" s="536" t="s">
        <v>24</v>
      </c>
      <c r="AO290" s="494" t="s">
        <v>25</v>
      </c>
      <c r="AP290" s="496" t="s">
        <v>26</v>
      </c>
      <c r="AQ290" s="536" t="s">
        <v>24</v>
      </c>
      <c r="AR290" s="494" t="s">
        <v>25</v>
      </c>
      <c r="AS290" s="496" t="s">
        <v>26</v>
      </c>
      <c r="AT290" s="536" t="s">
        <v>24</v>
      </c>
      <c r="AU290" s="494" t="s">
        <v>25</v>
      </c>
      <c r="AV290" s="496" t="s">
        <v>26</v>
      </c>
      <c r="AW290" s="536" t="s">
        <v>24</v>
      </c>
      <c r="AX290" s="513" t="s">
        <v>27</v>
      </c>
    </row>
    <row r="291" spans="1:50">
      <c r="A291" s="676"/>
      <c r="B291" s="524"/>
      <c r="C291" s="494"/>
      <c r="D291" s="524"/>
      <c r="E291" s="494"/>
      <c r="F291" s="678"/>
      <c r="G291" s="536"/>
      <c r="H291" s="494"/>
      <c r="I291" s="496"/>
      <c r="J291" s="536"/>
      <c r="K291" s="494"/>
      <c r="L291" s="496"/>
      <c r="M291" s="536"/>
      <c r="N291" s="494"/>
      <c r="O291" s="496"/>
      <c r="P291" s="536"/>
      <c r="Q291" s="494"/>
      <c r="R291" s="496"/>
      <c r="S291" s="536"/>
      <c r="T291" s="494"/>
      <c r="U291" s="496"/>
      <c r="V291" s="536"/>
      <c r="W291" s="494"/>
      <c r="X291" s="534"/>
      <c r="Y291" s="671"/>
      <c r="Z291" s="494"/>
      <c r="AA291" s="674"/>
      <c r="AB291" s="536"/>
      <c r="AC291" s="494"/>
      <c r="AD291" s="496"/>
      <c r="AE291" s="536"/>
      <c r="AF291" s="494"/>
      <c r="AG291" s="496"/>
      <c r="AH291" s="536"/>
      <c r="AI291" s="494"/>
      <c r="AJ291" s="496"/>
      <c r="AK291" s="536"/>
      <c r="AL291" s="494"/>
      <c r="AM291" s="496"/>
      <c r="AN291" s="536"/>
      <c r="AO291" s="494"/>
      <c r="AP291" s="496"/>
      <c r="AQ291" s="536"/>
      <c r="AR291" s="494"/>
      <c r="AS291" s="496"/>
      <c r="AT291" s="536"/>
      <c r="AU291" s="494"/>
      <c r="AV291" s="496"/>
      <c r="AW291" s="536"/>
      <c r="AX291" s="513"/>
    </row>
    <row r="292" spans="1:50" ht="15">
      <c r="A292" s="661" t="s">
        <v>100</v>
      </c>
      <c r="B292" s="592">
        <v>3369</v>
      </c>
      <c r="C292" s="664">
        <v>2401854</v>
      </c>
      <c r="D292" s="666" t="s">
        <v>101</v>
      </c>
      <c r="E292" s="668" t="s">
        <v>57</v>
      </c>
      <c r="F292" s="303"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89"/>
      <c r="Z292" s="9">
        <f t="shared" ref="Z292:Z297" si="502">Y292-AA292</f>
        <v>0</v>
      </c>
      <c r="AA292" s="306"/>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661"/>
      <c r="B293" s="592"/>
      <c r="C293" s="664"/>
      <c r="D293" s="598"/>
      <c r="E293" s="668"/>
      <c r="F293" s="303"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89"/>
      <c r="Z293" s="11">
        <f t="shared" si="502"/>
        <v>0</v>
      </c>
      <c r="AA293" s="190"/>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661"/>
      <c r="B294" s="592"/>
      <c r="C294" s="664"/>
      <c r="D294" s="598"/>
      <c r="E294" s="668"/>
      <c r="F294" s="303"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89"/>
      <c r="Z294" s="11">
        <f t="shared" si="502"/>
        <v>0</v>
      </c>
      <c r="AA294" s="190"/>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661"/>
      <c r="B295" s="592"/>
      <c r="C295" s="664"/>
      <c r="D295" s="598"/>
      <c r="E295" s="668"/>
      <c r="F295" s="303"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89"/>
      <c r="Z295" s="11">
        <f t="shared" si="502"/>
        <v>0</v>
      </c>
      <c r="AA295" s="190"/>
      <c r="AB295" s="25"/>
      <c r="AC295" s="11">
        <f t="shared" si="503"/>
        <v>0</v>
      </c>
      <c r="AD295" s="12"/>
      <c r="AE295" s="25"/>
      <c r="AF295" s="11">
        <f t="shared" si="504"/>
        <v>0</v>
      </c>
      <c r="AG295" s="12"/>
      <c r="AH295" s="3"/>
      <c r="AI295" s="11">
        <f t="shared" si="505"/>
        <v>0</v>
      </c>
      <c r="AJ295" s="12"/>
      <c r="AK295" s="453">
        <v>402940</v>
      </c>
      <c r="AL295" s="454">
        <f t="shared" si="506"/>
        <v>402940</v>
      </c>
      <c r="AM295" s="455"/>
      <c r="AN295" s="453">
        <v>1033060</v>
      </c>
      <c r="AO295" s="454">
        <f t="shared" si="507"/>
        <v>1033060</v>
      </c>
      <c r="AP295" s="455"/>
      <c r="AQ295" s="3"/>
      <c r="AR295" s="11">
        <f t="shared" si="508"/>
        <v>0</v>
      </c>
      <c r="AS295" s="12"/>
      <c r="AT295" s="3"/>
      <c r="AU295" s="11">
        <f t="shared" si="509"/>
        <v>0</v>
      </c>
      <c r="AV295" s="12"/>
      <c r="AW295" s="3"/>
      <c r="AX295" s="63">
        <f>SUM(H292:H302,K292:K302,N292:N302,Q292:Q302,T292:T302,W292:W302,Z292:Z302,AC292:AC302,Z292:Z302,AF292:AF302)</f>
        <v>0</v>
      </c>
    </row>
    <row r="296" spans="1:50">
      <c r="A296" s="661"/>
      <c r="B296" s="592"/>
      <c r="C296" s="664"/>
      <c r="D296" s="598"/>
      <c r="E296" s="668"/>
      <c r="F296" s="303"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89"/>
      <c r="Z296" s="11">
        <f t="shared" si="502"/>
        <v>0</v>
      </c>
      <c r="AA296" s="190"/>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661"/>
      <c r="B297" s="592"/>
      <c r="C297" s="664"/>
      <c r="D297" s="598"/>
      <c r="E297" s="668"/>
      <c r="F297" s="303"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89"/>
      <c r="Z297" s="11">
        <f t="shared" si="502"/>
        <v>0</v>
      </c>
      <c r="AA297" s="190"/>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661"/>
      <c r="B298" s="592"/>
      <c r="C298" s="664"/>
      <c r="D298" s="598"/>
      <c r="E298" s="668"/>
      <c r="F298" s="303" t="s">
        <v>39</v>
      </c>
      <c r="G298" s="25"/>
      <c r="H298" s="11"/>
      <c r="I298" s="12"/>
      <c r="J298" s="3"/>
      <c r="K298" s="11"/>
      <c r="L298" s="12"/>
      <c r="M298" s="3"/>
      <c r="N298" s="11"/>
      <c r="O298" s="12"/>
      <c r="P298" s="3"/>
      <c r="Q298" s="11"/>
      <c r="R298" s="12"/>
      <c r="S298" s="3"/>
      <c r="T298" s="11"/>
      <c r="U298" s="12"/>
      <c r="V298" s="3"/>
      <c r="W298" s="11"/>
      <c r="X298" s="127"/>
      <c r="Y298" s="309"/>
      <c r="Z298" s="20"/>
      <c r="AA298" s="190"/>
      <c r="AB298" s="25"/>
      <c r="AC298" s="11"/>
      <c r="AD298" s="12"/>
      <c r="AE298" s="25"/>
      <c r="AF298" s="11"/>
      <c r="AG298" s="12"/>
      <c r="AH298" s="3"/>
      <c r="AI298" s="11"/>
      <c r="AJ298" s="12"/>
      <c r="AK298" s="3"/>
      <c r="AL298" s="11"/>
      <c r="AM298" s="12"/>
      <c r="AN298" s="3"/>
      <c r="AO298" s="11"/>
      <c r="AP298" s="12"/>
      <c r="AQ298" s="3"/>
      <c r="AR298" s="11"/>
      <c r="AS298" s="12"/>
      <c r="AT298" s="453">
        <v>400000</v>
      </c>
      <c r="AU298" s="454">
        <f t="shared" si="509"/>
        <v>400000</v>
      </c>
      <c r="AV298" s="455"/>
      <c r="AW298" s="3"/>
      <c r="AX298" s="63"/>
    </row>
    <row r="299" spans="1:50">
      <c r="A299" s="661"/>
      <c r="B299" s="592"/>
      <c r="C299" s="664"/>
      <c r="D299" s="598"/>
      <c r="E299" s="668"/>
      <c r="F299" s="303" t="s">
        <v>40</v>
      </c>
      <c r="G299" s="25"/>
      <c r="H299" s="11"/>
      <c r="I299" s="12"/>
      <c r="J299" s="3"/>
      <c r="K299" s="11"/>
      <c r="L299" s="12"/>
      <c r="M299" s="3"/>
      <c r="N299" s="11"/>
      <c r="O299" s="12"/>
      <c r="P299" s="3"/>
      <c r="Q299" s="11"/>
      <c r="R299" s="12"/>
      <c r="S299" s="3"/>
      <c r="T299" s="11"/>
      <c r="U299" s="12"/>
      <c r="V299" s="3"/>
      <c r="W299" s="11"/>
      <c r="X299" s="127"/>
      <c r="Y299" s="310"/>
      <c r="Z299" s="20">
        <f t="shared" ref="Z299:Z302" si="510">Y299-AA299</f>
        <v>0</v>
      </c>
      <c r="AA299" s="190"/>
      <c r="AB299" s="25"/>
      <c r="AC299" s="11">
        <v>0</v>
      </c>
      <c r="AD299" s="12"/>
      <c r="AE299" s="446"/>
      <c r="AF299" s="446">
        <v>0</v>
      </c>
      <c r="AG299" s="446"/>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56">
        <v>4080000</v>
      </c>
      <c r="AU299" s="457">
        <f t="shared" ref="AU299:AU302" si="515">AT299-AV299</f>
        <v>4080000</v>
      </c>
      <c r="AV299" s="458"/>
      <c r="AW299" s="3"/>
      <c r="AX299" s="63"/>
    </row>
    <row r="300" spans="1:50">
      <c r="A300" s="661"/>
      <c r="B300" s="592"/>
      <c r="C300" s="664"/>
      <c r="D300" s="598"/>
      <c r="E300" s="668"/>
      <c r="F300" s="303"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1">
        <f t="shared" si="510"/>
        <v>0</v>
      </c>
      <c r="AA300" s="312"/>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661"/>
      <c r="B301" s="592"/>
      <c r="C301" s="664"/>
      <c r="D301" s="598"/>
      <c r="E301" s="668"/>
      <c r="F301" s="303"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0" t="e">
        <f>AX297/AX293</f>
        <v>#DIV/0!</v>
      </c>
    </row>
    <row r="302" spans="1:50">
      <c r="A302" s="662"/>
      <c r="B302" s="663"/>
      <c r="C302" s="665"/>
      <c r="D302" s="667"/>
      <c r="E302" s="669"/>
      <c r="F302" s="305" t="s">
        <v>44</v>
      </c>
      <c r="G302" s="292"/>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2"/>
      <c r="AC302" s="16">
        <f t="shared" si="522"/>
        <v>0</v>
      </c>
      <c r="AD302" s="17"/>
      <c r="AE302" s="292"/>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675" t="s">
        <v>18</v>
      </c>
      <c r="B303" s="491" t="s">
        <v>19</v>
      </c>
      <c r="C303" s="468" t="s">
        <v>20</v>
      </c>
      <c r="D303" s="491" t="s">
        <v>21</v>
      </c>
      <c r="E303" s="468" t="s">
        <v>22</v>
      </c>
      <c r="F303" s="677" t="s">
        <v>23</v>
      </c>
      <c r="G303" s="536" t="s">
        <v>24</v>
      </c>
      <c r="H303" s="494" t="s">
        <v>25</v>
      </c>
      <c r="I303" s="496" t="s">
        <v>26</v>
      </c>
      <c r="J303" s="536" t="s">
        <v>24</v>
      </c>
      <c r="K303" s="494" t="s">
        <v>25</v>
      </c>
      <c r="L303" s="496" t="s">
        <v>26</v>
      </c>
      <c r="M303" s="536" t="s">
        <v>24</v>
      </c>
      <c r="N303" s="494" t="s">
        <v>25</v>
      </c>
      <c r="O303" s="496" t="s">
        <v>26</v>
      </c>
      <c r="P303" s="536" t="s">
        <v>24</v>
      </c>
      <c r="Q303" s="494" t="s">
        <v>25</v>
      </c>
      <c r="R303" s="496" t="s">
        <v>26</v>
      </c>
      <c r="S303" s="536" t="s">
        <v>24</v>
      </c>
      <c r="T303" s="494" t="s">
        <v>25</v>
      </c>
      <c r="U303" s="496" t="s">
        <v>26</v>
      </c>
      <c r="V303" s="536" t="s">
        <v>24</v>
      </c>
      <c r="W303" s="494" t="s">
        <v>25</v>
      </c>
      <c r="X303" s="534" t="s">
        <v>26</v>
      </c>
      <c r="Y303" s="670" t="s">
        <v>24</v>
      </c>
      <c r="Z303" s="672" t="s">
        <v>25</v>
      </c>
      <c r="AA303" s="673" t="s">
        <v>26</v>
      </c>
      <c r="AB303" s="536" t="s">
        <v>24</v>
      </c>
      <c r="AC303" s="494" t="s">
        <v>25</v>
      </c>
      <c r="AD303" s="496" t="s">
        <v>26</v>
      </c>
      <c r="AE303" s="536" t="s">
        <v>24</v>
      </c>
      <c r="AF303" s="494" t="s">
        <v>25</v>
      </c>
      <c r="AG303" s="496" t="s">
        <v>26</v>
      </c>
      <c r="AH303" s="536" t="s">
        <v>24</v>
      </c>
      <c r="AI303" s="494" t="s">
        <v>25</v>
      </c>
      <c r="AJ303" s="496" t="s">
        <v>26</v>
      </c>
      <c r="AK303" s="536" t="s">
        <v>24</v>
      </c>
      <c r="AL303" s="494" t="s">
        <v>25</v>
      </c>
      <c r="AM303" s="496" t="s">
        <v>26</v>
      </c>
      <c r="AN303" s="536" t="s">
        <v>24</v>
      </c>
      <c r="AO303" s="494" t="s">
        <v>25</v>
      </c>
      <c r="AP303" s="496" t="s">
        <v>26</v>
      </c>
      <c r="AQ303" s="536" t="s">
        <v>24</v>
      </c>
      <c r="AR303" s="494" t="s">
        <v>25</v>
      </c>
      <c r="AS303" s="496" t="s">
        <v>26</v>
      </c>
      <c r="AT303" s="536" t="s">
        <v>24</v>
      </c>
      <c r="AU303" s="494" t="s">
        <v>25</v>
      </c>
      <c r="AV303" s="496" t="s">
        <v>26</v>
      </c>
      <c r="AW303" s="536" t="s">
        <v>24</v>
      </c>
      <c r="AX303" s="513" t="s">
        <v>27</v>
      </c>
    </row>
    <row r="304" spans="1:50">
      <c r="A304" s="676"/>
      <c r="B304" s="524"/>
      <c r="C304" s="494"/>
      <c r="D304" s="524"/>
      <c r="E304" s="494"/>
      <c r="F304" s="678"/>
      <c r="G304" s="536"/>
      <c r="H304" s="494"/>
      <c r="I304" s="496"/>
      <c r="J304" s="536"/>
      <c r="K304" s="494"/>
      <c r="L304" s="496"/>
      <c r="M304" s="536"/>
      <c r="N304" s="494"/>
      <c r="O304" s="496"/>
      <c r="P304" s="536"/>
      <c r="Q304" s="494"/>
      <c r="R304" s="496"/>
      <c r="S304" s="536"/>
      <c r="T304" s="494"/>
      <c r="U304" s="496"/>
      <c r="V304" s="536"/>
      <c r="W304" s="494"/>
      <c r="X304" s="534"/>
      <c r="Y304" s="671"/>
      <c r="Z304" s="494"/>
      <c r="AA304" s="674"/>
      <c r="AB304" s="536"/>
      <c r="AC304" s="494"/>
      <c r="AD304" s="496"/>
      <c r="AE304" s="536"/>
      <c r="AF304" s="494"/>
      <c r="AG304" s="496"/>
      <c r="AH304" s="536"/>
      <c r="AI304" s="494"/>
      <c r="AJ304" s="496"/>
      <c r="AK304" s="536"/>
      <c r="AL304" s="494"/>
      <c r="AM304" s="496"/>
      <c r="AN304" s="536"/>
      <c r="AO304" s="494"/>
      <c r="AP304" s="496"/>
      <c r="AQ304" s="536"/>
      <c r="AR304" s="494"/>
      <c r="AS304" s="496"/>
      <c r="AT304" s="536"/>
      <c r="AU304" s="494"/>
      <c r="AV304" s="496"/>
      <c r="AW304" s="536"/>
      <c r="AX304" s="513"/>
    </row>
    <row r="305" spans="1:50">
      <c r="A305" s="661" t="s">
        <v>102</v>
      </c>
      <c r="B305" s="592">
        <v>2541</v>
      </c>
      <c r="C305" s="664">
        <v>1801597</v>
      </c>
      <c r="D305" s="598" t="s">
        <v>103</v>
      </c>
      <c r="E305" s="668" t="s">
        <v>60</v>
      </c>
      <c r="F305" s="303"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89"/>
      <c r="Z305" s="9">
        <f t="shared" ref="Z305:Z315" si="530">Y305-AA305</f>
        <v>0</v>
      </c>
      <c r="AA305" s="306"/>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661"/>
      <c r="B306" s="592"/>
      <c r="C306" s="664"/>
      <c r="D306" s="598"/>
      <c r="E306" s="668"/>
      <c r="F306" s="303"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89"/>
      <c r="Z306" s="11">
        <f t="shared" si="530"/>
        <v>0</v>
      </c>
      <c r="AA306" s="190"/>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661"/>
      <c r="B307" s="592"/>
      <c r="C307" s="664"/>
      <c r="D307" s="598"/>
      <c r="E307" s="668"/>
      <c r="F307" s="303"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89"/>
      <c r="Z307" s="11">
        <f t="shared" si="530"/>
        <v>0</v>
      </c>
      <c r="AA307" s="190"/>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661"/>
      <c r="B308" s="592"/>
      <c r="C308" s="664"/>
      <c r="D308" s="598"/>
      <c r="E308" s="668"/>
      <c r="F308" s="303"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89"/>
      <c r="Z308" s="11">
        <f t="shared" si="530"/>
        <v>0</v>
      </c>
      <c r="AA308" s="190"/>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661"/>
      <c r="B309" s="592"/>
      <c r="C309" s="664"/>
      <c r="D309" s="598"/>
      <c r="E309" s="668"/>
      <c r="F309" s="303"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89"/>
      <c r="Z309" s="11">
        <f t="shared" si="530"/>
        <v>0</v>
      </c>
      <c r="AA309" s="190"/>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661"/>
      <c r="B310" s="592"/>
      <c r="C310" s="664"/>
      <c r="D310" s="598"/>
      <c r="E310" s="668"/>
      <c r="F310" s="303"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89"/>
      <c r="Z310" s="11">
        <f t="shared" si="530"/>
        <v>0</v>
      </c>
      <c r="AA310" s="190"/>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661"/>
      <c r="B311" s="592"/>
      <c r="C311" s="664"/>
      <c r="D311" s="598"/>
      <c r="E311" s="668"/>
      <c r="F311" s="303" t="s">
        <v>39</v>
      </c>
      <c r="G311" s="25"/>
      <c r="H311" s="11"/>
      <c r="I311" s="12"/>
      <c r="J311" s="3"/>
      <c r="K311" s="11"/>
      <c r="L311" s="12"/>
      <c r="M311" s="3"/>
      <c r="N311" s="11"/>
      <c r="O311" s="12"/>
      <c r="P311" s="3"/>
      <c r="Q311" s="11"/>
      <c r="R311" s="12"/>
      <c r="S311" s="3"/>
      <c r="T311" s="11"/>
      <c r="U311" s="12"/>
      <c r="V311" s="3"/>
      <c r="W311" s="11"/>
      <c r="X311" s="127"/>
      <c r="Y311" s="309"/>
      <c r="Z311" s="20"/>
      <c r="AA311" s="190"/>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661"/>
      <c r="B312" s="592"/>
      <c r="C312" s="664"/>
      <c r="D312" s="598"/>
      <c r="E312" s="668"/>
      <c r="F312" s="303" t="s">
        <v>40</v>
      </c>
      <c r="G312" s="25"/>
      <c r="H312" s="11"/>
      <c r="I312" s="12"/>
      <c r="J312" s="3"/>
      <c r="K312" s="11"/>
      <c r="L312" s="12"/>
      <c r="M312" s="3"/>
      <c r="N312" s="11"/>
      <c r="O312" s="12"/>
      <c r="P312" s="3"/>
      <c r="Q312" s="11"/>
      <c r="R312" s="12"/>
      <c r="S312" s="3"/>
      <c r="T312" s="11"/>
      <c r="U312" s="12"/>
      <c r="V312" s="3"/>
      <c r="W312" s="11"/>
      <c r="X312" s="127"/>
      <c r="Y312" s="310">
        <f>1262685+390755</f>
        <v>1653440</v>
      </c>
      <c r="Z312" s="20">
        <f t="shared" ref="Z312" si="538">Y312-AA312</f>
        <v>0</v>
      </c>
      <c r="AA312" s="190">
        <v>1653440</v>
      </c>
      <c r="AB312" s="25"/>
      <c r="AC312" s="11">
        <v>0</v>
      </c>
      <c r="AD312" s="12"/>
      <c r="AE312" s="445">
        <v>14407</v>
      </c>
      <c r="AF312" s="445">
        <v>0</v>
      </c>
      <c r="AG312" s="445">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661"/>
      <c r="B313" s="592"/>
      <c r="C313" s="664"/>
      <c r="D313" s="598"/>
      <c r="E313" s="668"/>
      <c r="F313" s="303"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1">
        <f t="shared" si="530"/>
        <v>0</v>
      </c>
      <c r="AA313" s="312"/>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661"/>
      <c r="B314" s="592"/>
      <c r="C314" s="664"/>
      <c r="D314" s="598"/>
      <c r="E314" s="668"/>
      <c r="F314" s="303"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0">
        <f>AX310/AX306</f>
        <v>1</v>
      </c>
    </row>
    <row r="315" spans="1:50">
      <c r="A315" s="662"/>
      <c r="B315" s="663"/>
      <c r="C315" s="665"/>
      <c r="D315" s="667"/>
      <c r="E315" s="669"/>
      <c r="F315" s="305" t="s">
        <v>44</v>
      </c>
      <c r="G315" s="292"/>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2"/>
      <c r="AC315" s="16">
        <f t="shared" si="540"/>
        <v>0</v>
      </c>
      <c r="AD315" s="17"/>
      <c r="AE315" s="292"/>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675" t="s">
        <v>18</v>
      </c>
      <c r="B316" s="491" t="s">
        <v>19</v>
      </c>
      <c r="C316" s="468" t="s">
        <v>20</v>
      </c>
      <c r="D316" s="491" t="s">
        <v>21</v>
      </c>
      <c r="E316" s="468" t="s">
        <v>22</v>
      </c>
      <c r="F316" s="677" t="s">
        <v>23</v>
      </c>
      <c r="G316" s="536" t="s">
        <v>24</v>
      </c>
      <c r="H316" s="494" t="s">
        <v>25</v>
      </c>
      <c r="I316" s="496" t="s">
        <v>26</v>
      </c>
      <c r="J316" s="536" t="s">
        <v>24</v>
      </c>
      <c r="K316" s="494" t="s">
        <v>25</v>
      </c>
      <c r="L316" s="496" t="s">
        <v>26</v>
      </c>
      <c r="M316" s="536" t="s">
        <v>24</v>
      </c>
      <c r="N316" s="494" t="s">
        <v>25</v>
      </c>
      <c r="O316" s="496" t="s">
        <v>26</v>
      </c>
      <c r="P316" s="536" t="s">
        <v>24</v>
      </c>
      <c r="Q316" s="494" t="s">
        <v>25</v>
      </c>
      <c r="R316" s="496" t="s">
        <v>26</v>
      </c>
      <c r="S316" s="536" t="s">
        <v>24</v>
      </c>
      <c r="T316" s="494" t="s">
        <v>25</v>
      </c>
      <c r="U316" s="496" t="s">
        <v>26</v>
      </c>
      <c r="V316" s="536" t="s">
        <v>24</v>
      </c>
      <c r="W316" s="494" t="s">
        <v>25</v>
      </c>
      <c r="X316" s="534" t="s">
        <v>26</v>
      </c>
      <c r="Y316" s="670" t="s">
        <v>24</v>
      </c>
      <c r="Z316" s="672" t="s">
        <v>25</v>
      </c>
      <c r="AA316" s="673" t="s">
        <v>26</v>
      </c>
      <c r="AB316" s="536" t="s">
        <v>24</v>
      </c>
      <c r="AC316" s="494" t="s">
        <v>25</v>
      </c>
      <c r="AD316" s="496" t="s">
        <v>26</v>
      </c>
      <c r="AE316" s="536" t="s">
        <v>24</v>
      </c>
      <c r="AF316" s="494" t="s">
        <v>25</v>
      </c>
      <c r="AG316" s="496" t="s">
        <v>26</v>
      </c>
      <c r="AH316" s="536" t="s">
        <v>24</v>
      </c>
      <c r="AI316" s="494" t="s">
        <v>25</v>
      </c>
      <c r="AJ316" s="496" t="s">
        <v>26</v>
      </c>
      <c r="AK316" s="536" t="s">
        <v>24</v>
      </c>
      <c r="AL316" s="494" t="s">
        <v>25</v>
      </c>
      <c r="AM316" s="496" t="s">
        <v>26</v>
      </c>
      <c r="AN316" s="536" t="s">
        <v>24</v>
      </c>
      <c r="AO316" s="494" t="s">
        <v>25</v>
      </c>
      <c r="AP316" s="496" t="s">
        <v>26</v>
      </c>
      <c r="AQ316" s="536" t="s">
        <v>24</v>
      </c>
      <c r="AR316" s="494" t="s">
        <v>25</v>
      </c>
      <c r="AS316" s="496" t="s">
        <v>26</v>
      </c>
      <c r="AT316" s="536" t="s">
        <v>24</v>
      </c>
      <c r="AU316" s="494" t="s">
        <v>25</v>
      </c>
      <c r="AV316" s="496" t="s">
        <v>26</v>
      </c>
      <c r="AW316" s="536" t="s">
        <v>24</v>
      </c>
      <c r="AX316" s="513" t="s">
        <v>27</v>
      </c>
    </row>
    <row r="317" spans="1:50">
      <c r="A317" s="676"/>
      <c r="B317" s="524"/>
      <c r="C317" s="494"/>
      <c r="D317" s="524"/>
      <c r="E317" s="494"/>
      <c r="F317" s="678"/>
      <c r="G317" s="536"/>
      <c r="H317" s="494"/>
      <c r="I317" s="496"/>
      <c r="J317" s="536"/>
      <c r="K317" s="494"/>
      <c r="L317" s="496"/>
      <c r="M317" s="536"/>
      <c r="N317" s="494"/>
      <c r="O317" s="496"/>
      <c r="P317" s="536"/>
      <c r="Q317" s="494"/>
      <c r="R317" s="496"/>
      <c r="S317" s="536"/>
      <c r="T317" s="494"/>
      <c r="U317" s="496"/>
      <c r="V317" s="536"/>
      <c r="W317" s="494"/>
      <c r="X317" s="534"/>
      <c r="Y317" s="671"/>
      <c r="Z317" s="494"/>
      <c r="AA317" s="674"/>
      <c r="AB317" s="536"/>
      <c r="AC317" s="494"/>
      <c r="AD317" s="496"/>
      <c r="AE317" s="536"/>
      <c r="AF317" s="494"/>
      <c r="AG317" s="496"/>
      <c r="AH317" s="536"/>
      <c r="AI317" s="494"/>
      <c r="AJ317" s="496"/>
      <c r="AK317" s="536"/>
      <c r="AL317" s="494"/>
      <c r="AM317" s="496"/>
      <c r="AN317" s="536"/>
      <c r="AO317" s="494"/>
      <c r="AP317" s="496"/>
      <c r="AQ317" s="536"/>
      <c r="AR317" s="494"/>
      <c r="AS317" s="496"/>
      <c r="AT317" s="536"/>
      <c r="AU317" s="494"/>
      <c r="AV317" s="496"/>
      <c r="AW317" s="536"/>
      <c r="AX317" s="513"/>
    </row>
    <row r="318" spans="1:50">
      <c r="A318" s="661" t="s">
        <v>104</v>
      </c>
      <c r="B318" s="592">
        <v>3177</v>
      </c>
      <c r="C318" s="664">
        <v>2301301</v>
      </c>
      <c r="D318" s="598" t="s">
        <v>105</v>
      </c>
      <c r="E318" s="668" t="s">
        <v>47</v>
      </c>
      <c r="F318" s="303"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89"/>
      <c r="Z318" s="9">
        <f t="shared" ref="Z318:Z328" si="548">Y318-AA318</f>
        <v>0</v>
      </c>
      <c r="AA318" s="306"/>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661"/>
      <c r="B319" s="592"/>
      <c r="C319" s="664"/>
      <c r="D319" s="598"/>
      <c r="E319" s="668"/>
      <c r="F319" s="303"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89"/>
      <c r="Z319" s="11">
        <f t="shared" si="548"/>
        <v>0</v>
      </c>
      <c r="AA319" s="190"/>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661"/>
      <c r="B320" s="592"/>
      <c r="C320" s="664"/>
      <c r="D320" s="598"/>
      <c r="E320" s="668"/>
      <c r="F320" s="303"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89"/>
      <c r="Z320" s="11">
        <f t="shared" si="548"/>
        <v>0</v>
      </c>
      <c r="AA320" s="190"/>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661"/>
      <c r="B321" s="592"/>
      <c r="C321" s="664"/>
      <c r="D321" s="598"/>
      <c r="E321" s="668"/>
      <c r="F321" s="303"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89"/>
      <c r="Z321" s="11">
        <f t="shared" si="548"/>
        <v>0</v>
      </c>
      <c r="AA321" s="190"/>
      <c r="AB321" s="25"/>
      <c r="AC321" s="11">
        <f t="shared" si="549"/>
        <v>0</v>
      </c>
      <c r="AD321" s="12"/>
      <c r="AE321" s="25"/>
      <c r="AF321" s="11">
        <f t="shared" si="550"/>
        <v>0</v>
      </c>
      <c r="AG321" s="12"/>
      <c r="AH321" s="3"/>
      <c r="AI321" s="11">
        <f t="shared" si="551"/>
        <v>0</v>
      </c>
      <c r="AJ321" s="12"/>
      <c r="AK321" s="444"/>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661"/>
      <c r="B322" s="592"/>
      <c r="C322" s="664"/>
      <c r="D322" s="598"/>
      <c r="E322" s="668"/>
      <c r="F322" s="303"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89"/>
      <c r="Z322" s="11">
        <f t="shared" si="548"/>
        <v>0</v>
      </c>
      <c r="AA322" s="190"/>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661"/>
      <c r="B323" s="592"/>
      <c r="C323" s="664"/>
      <c r="D323" s="598"/>
      <c r="E323" s="668"/>
      <c r="F323" s="303"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89"/>
      <c r="Z323" s="20">
        <f t="shared" si="548"/>
        <v>0</v>
      </c>
      <c r="AA323" s="313"/>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661"/>
      <c r="B324" s="592"/>
      <c r="C324" s="664"/>
      <c r="D324" s="598"/>
      <c r="E324" s="668"/>
      <c r="F324" s="303" t="s">
        <v>39</v>
      </c>
      <c r="G324" s="25"/>
      <c r="H324" s="11"/>
      <c r="I324" s="12"/>
      <c r="J324" s="3"/>
      <c r="K324" s="11"/>
      <c r="L324" s="12"/>
      <c r="M324" s="3"/>
      <c r="N324" s="11"/>
      <c r="O324" s="12"/>
      <c r="P324" s="3"/>
      <c r="Q324" s="11"/>
      <c r="R324" s="12"/>
      <c r="S324" s="3"/>
      <c r="T324" s="11"/>
      <c r="U324" s="12"/>
      <c r="V324" s="3"/>
      <c r="W324" s="11"/>
      <c r="X324" s="127"/>
      <c r="Y324" s="309"/>
      <c r="Z324" s="314"/>
      <c r="AA324" s="315"/>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661"/>
      <c r="B325" s="592"/>
      <c r="C325" s="664"/>
      <c r="D325" s="598"/>
      <c r="E325" s="668"/>
      <c r="F325" s="303" t="s">
        <v>40</v>
      </c>
      <c r="G325" s="25"/>
      <c r="H325" s="11"/>
      <c r="I325" s="12"/>
      <c r="J325" s="3"/>
      <c r="K325" s="11"/>
      <c r="L325" s="12"/>
      <c r="M325" s="3"/>
      <c r="N325" s="11"/>
      <c r="O325" s="12"/>
      <c r="P325" s="3"/>
      <c r="Q325" s="11"/>
      <c r="R325" s="12"/>
      <c r="S325" s="3"/>
      <c r="T325" s="11"/>
      <c r="U325" s="12"/>
      <c r="V325" s="3"/>
      <c r="W325" s="11"/>
      <c r="X325" s="127"/>
      <c r="Y325" s="316"/>
      <c r="Z325" s="317">
        <f t="shared" si="548"/>
        <v>0</v>
      </c>
      <c r="AA325" s="318"/>
      <c r="AB325" s="25"/>
      <c r="AC325" s="11">
        <v>0</v>
      </c>
      <c r="AD325" s="12"/>
      <c r="AE325" s="25"/>
      <c r="AF325" s="11">
        <v>0</v>
      </c>
      <c r="AG325" s="12"/>
      <c r="AH325" s="3"/>
      <c r="AI325" s="11">
        <f t="shared" si="551"/>
        <v>0</v>
      </c>
      <c r="AJ325" s="12"/>
      <c r="AK325" s="3"/>
      <c r="AL325" s="11">
        <f t="shared" si="552"/>
        <v>0</v>
      </c>
      <c r="AM325" s="12"/>
      <c r="AN325" s="444"/>
      <c r="AO325" s="166">
        <f t="shared" si="553"/>
        <v>0</v>
      </c>
      <c r="AP325" s="167"/>
      <c r="AQ325" s="3"/>
      <c r="AR325" s="11">
        <f t="shared" si="554"/>
        <v>0</v>
      </c>
      <c r="AS325" s="12"/>
      <c r="AT325" s="3"/>
      <c r="AU325" s="11">
        <f t="shared" ref="AU325:AU328" si="556">AT325-AV325</f>
        <v>0</v>
      </c>
      <c r="AV325" s="12"/>
      <c r="AW325" s="3"/>
      <c r="AX325" s="63"/>
    </row>
    <row r="326" spans="1:50">
      <c r="A326" s="661"/>
      <c r="B326" s="592"/>
      <c r="C326" s="664"/>
      <c r="D326" s="598"/>
      <c r="E326" s="668"/>
      <c r="F326" s="303"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19"/>
      <c r="Z326" s="320">
        <f t="shared" si="548"/>
        <v>0</v>
      </c>
      <c r="AA326" s="321"/>
      <c r="AB326" s="322"/>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661"/>
      <c r="B327" s="592"/>
      <c r="C327" s="664"/>
      <c r="D327" s="598"/>
      <c r="E327" s="668"/>
      <c r="F327" s="303"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3">
        <f t="shared" si="548"/>
        <v>0</v>
      </c>
      <c r="AA327" s="312"/>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0" t="e">
        <f>AX323/AX319</f>
        <v>#DIV/0!</v>
      </c>
    </row>
    <row r="328" spans="1:50">
      <c r="A328" s="662"/>
      <c r="B328" s="663"/>
      <c r="C328" s="665"/>
      <c r="D328" s="667"/>
      <c r="E328" s="669"/>
      <c r="F328" s="305" t="s">
        <v>44</v>
      </c>
      <c r="G328" s="292"/>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2"/>
      <c r="AC328" s="16">
        <f t="shared" si="563"/>
        <v>0</v>
      </c>
      <c r="AD328" s="17"/>
      <c r="AE328" s="292"/>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675" t="s">
        <v>18</v>
      </c>
      <c r="B329" s="491" t="s">
        <v>19</v>
      </c>
      <c r="C329" s="468" t="s">
        <v>20</v>
      </c>
      <c r="D329" s="491" t="s">
        <v>21</v>
      </c>
      <c r="E329" s="468" t="s">
        <v>22</v>
      </c>
      <c r="F329" s="677" t="s">
        <v>23</v>
      </c>
      <c r="G329" s="536" t="s">
        <v>24</v>
      </c>
      <c r="H329" s="494" t="s">
        <v>25</v>
      </c>
      <c r="I329" s="496" t="s">
        <v>26</v>
      </c>
      <c r="J329" s="536" t="s">
        <v>24</v>
      </c>
      <c r="K329" s="494" t="s">
        <v>25</v>
      </c>
      <c r="L329" s="496" t="s">
        <v>26</v>
      </c>
      <c r="M329" s="536" t="s">
        <v>24</v>
      </c>
      <c r="N329" s="494" t="s">
        <v>25</v>
      </c>
      <c r="O329" s="496" t="s">
        <v>26</v>
      </c>
      <c r="P329" s="536" t="s">
        <v>24</v>
      </c>
      <c r="Q329" s="494" t="s">
        <v>25</v>
      </c>
      <c r="R329" s="496" t="s">
        <v>26</v>
      </c>
      <c r="S329" s="536" t="s">
        <v>24</v>
      </c>
      <c r="T329" s="494" t="s">
        <v>25</v>
      </c>
      <c r="U329" s="496" t="s">
        <v>26</v>
      </c>
      <c r="V329" s="536" t="s">
        <v>24</v>
      </c>
      <c r="W329" s="494" t="s">
        <v>25</v>
      </c>
      <c r="X329" s="534" t="s">
        <v>26</v>
      </c>
      <c r="Y329" s="670" t="s">
        <v>24</v>
      </c>
      <c r="Z329" s="672" t="s">
        <v>25</v>
      </c>
      <c r="AA329" s="673" t="s">
        <v>26</v>
      </c>
      <c r="AB329" s="536" t="s">
        <v>24</v>
      </c>
      <c r="AC329" s="494" t="s">
        <v>25</v>
      </c>
      <c r="AD329" s="496" t="s">
        <v>26</v>
      </c>
      <c r="AE329" s="536" t="s">
        <v>24</v>
      </c>
      <c r="AF329" s="494" t="s">
        <v>25</v>
      </c>
      <c r="AG329" s="496" t="s">
        <v>26</v>
      </c>
      <c r="AH329" s="536" t="s">
        <v>24</v>
      </c>
      <c r="AI329" s="494" t="s">
        <v>25</v>
      </c>
      <c r="AJ329" s="496" t="s">
        <v>26</v>
      </c>
      <c r="AK329" s="504" t="s">
        <v>24</v>
      </c>
      <c r="AL329" s="494" t="s">
        <v>25</v>
      </c>
      <c r="AM329" s="496" t="s">
        <v>26</v>
      </c>
      <c r="AN329" s="536" t="s">
        <v>24</v>
      </c>
      <c r="AO329" s="494" t="s">
        <v>25</v>
      </c>
      <c r="AP329" s="496" t="s">
        <v>26</v>
      </c>
      <c r="AQ329" s="536" t="s">
        <v>24</v>
      </c>
      <c r="AR329" s="494" t="s">
        <v>25</v>
      </c>
      <c r="AS329" s="496" t="s">
        <v>26</v>
      </c>
      <c r="AT329" s="536" t="s">
        <v>24</v>
      </c>
      <c r="AU329" s="494" t="s">
        <v>25</v>
      </c>
      <c r="AV329" s="496" t="s">
        <v>26</v>
      </c>
      <c r="AW329" s="536" t="s">
        <v>24</v>
      </c>
      <c r="AX329" s="513" t="s">
        <v>27</v>
      </c>
    </row>
    <row r="330" spans="1:50">
      <c r="A330" s="676"/>
      <c r="B330" s="524"/>
      <c r="C330" s="494"/>
      <c r="D330" s="524"/>
      <c r="E330" s="494"/>
      <c r="F330" s="678"/>
      <c r="G330" s="536"/>
      <c r="H330" s="494"/>
      <c r="I330" s="496"/>
      <c r="J330" s="536"/>
      <c r="K330" s="494"/>
      <c r="L330" s="496"/>
      <c r="M330" s="536"/>
      <c r="N330" s="494"/>
      <c r="O330" s="496"/>
      <c r="P330" s="536"/>
      <c r="Q330" s="494"/>
      <c r="R330" s="496"/>
      <c r="S330" s="536"/>
      <c r="T330" s="494"/>
      <c r="U330" s="496"/>
      <c r="V330" s="536"/>
      <c r="W330" s="494"/>
      <c r="X330" s="534"/>
      <c r="Y330" s="671"/>
      <c r="Z330" s="494"/>
      <c r="AA330" s="674"/>
      <c r="AB330" s="536"/>
      <c r="AC330" s="494"/>
      <c r="AD330" s="496"/>
      <c r="AE330" s="536"/>
      <c r="AF330" s="494"/>
      <c r="AG330" s="496"/>
      <c r="AH330" s="536"/>
      <c r="AI330" s="494"/>
      <c r="AJ330" s="496"/>
      <c r="AK330" s="504"/>
      <c r="AL330" s="494"/>
      <c r="AM330" s="496"/>
      <c r="AN330" s="536"/>
      <c r="AO330" s="494"/>
      <c r="AP330" s="496"/>
      <c r="AQ330" s="536"/>
      <c r="AR330" s="494"/>
      <c r="AS330" s="496"/>
      <c r="AT330" s="536"/>
      <c r="AU330" s="494"/>
      <c r="AV330" s="496"/>
      <c r="AW330" s="536"/>
      <c r="AX330" s="513"/>
    </row>
    <row r="331" spans="1:50">
      <c r="A331" s="661" t="s">
        <v>106</v>
      </c>
      <c r="B331" s="592">
        <v>3180</v>
      </c>
      <c r="C331" s="664">
        <v>2301302</v>
      </c>
      <c r="D331" s="598" t="s">
        <v>107</v>
      </c>
      <c r="E331" s="668" t="s">
        <v>47</v>
      </c>
      <c r="F331" s="303"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89"/>
      <c r="Z331" s="9">
        <f t="shared" ref="Z331:Z341" si="571">Y331-AA331</f>
        <v>0</v>
      </c>
      <c r="AA331" s="306"/>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ht="15">
      <c r="A332" s="661"/>
      <c r="B332" s="592"/>
      <c r="C332" s="664"/>
      <c r="D332" s="598"/>
      <c r="E332" s="668"/>
      <c r="F332" s="303"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89"/>
      <c r="Z332" s="11">
        <f t="shared" si="571"/>
        <v>0</v>
      </c>
      <c r="AA332" s="190"/>
      <c r="AB332" s="447"/>
      <c r="AC332" s="447">
        <f t="shared" si="572"/>
        <v>0</v>
      </c>
      <c r="AD332" s="447"/>
      <c r="AE332" s="460">
        <v>144000</v>
      </c>
      <c r="AF332" s="460">
        <f t="shared" si="573"/>
        <v>0</v>
      </c>
      <c r="AG332" s="460">
        <v>144000</v>
      </c>
      <c r="AH332" s="3"/>
      <c r="AI332" s="11">
        <f t="shared" si="574"/>
        <v>0</v>
      </c>
      <c r="AJ332" s="12"/>
      <c r="AK332" s="177"/>
      <c r="AL332" s="166">
        <f t="shared" si="575"/>
        <v>0</v>
      </c>
      <c r="AM332" s="167"/>
      <c r="AN332" s="446"/>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ht="15">
      <c r="A333" s="661"/>
      <c r="B333" s="592"/>
      <c r="C333" s="664"/>
      <c r="D333" s="598"/>
      <c r="E333" s="668"/>
      <c r="F333" s="303"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89"/>
      <c r="Z333" s="11">
        <f t="shared" si="571"/>
        <v>0</v>
      </c>
      <c r="AA333" s="190"/>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ht="15">
      <c r="A334" s="661"/>
      <c r="B334" s="592"/>
      <c r="C334" s="664"/>
      <c r="D334" s="598"/>
      <c r="E334" s="668"/>
      <c r="F334" s="303"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89"/>
      <c r="Z334" s="11">
        <f t="shared" si="571"/>
        <v>0</v>
      </c>
      <c r="AA334" s="190"/>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444"/>
      <c r="AR334" s="11">
        <f t="shared" si="577"/>
        <v>0</v>
      </c>
      <c r="AS334" s="444"/>
      <c r="AT334" s="3"/>
      <c r="AU334" s="11">
        <f t="shared" si="578"/>
        <v>0</v>
      </c>
      <c r="AV334" s="12"/>
      <c r="AW334" s="3"/>
      <c r="AX334" s="63">
        <f>SUM(H331:H341,K331:K341,N331:N341,Q331:Q341,T331:T341,W331:W341,Z331:Z341,AC331:AC341,Z331:Z341,AF331:AF341)</f>
        <v>0</v>
      </c>
    </row>
    <row r="335" spans="1:50" ht="15">
      <c r="A335" s="661"/>
      <c r="B335" s="592"/>
      <c r="C335" s="664"/>
      <c r="D335" s="598"/>
      <c r="E335" s="668"/>
      <c r="F335" s="303"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89"/>
      <c r="Z335" s="11">
        <f t="shared" si="571"/>
        <v>0</v>
      </c>
      <c r="AA335" s="190"/>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ht="15">
      <c r="A336" s="661"/>
      <c r="B336" s="592"/>
      <c r="C336" s="664"/>
      <c r="D336" s="598"/>
      <c r="E336" s="668"/>
      <c r="F336" s="303"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1"/>
      <c r="Z336" s="11">
        <f t="shared" si="571"/>
        <v>0</v>
      </c>
      <c r="AA336" s="190"/>
      <c r="AB336" s="25"/>
      <c r="AC336" s="11">
        <f t="shared" si="572"/>
        <v>0</v>
      </c>
      <c r="AD336" s="12"/>
      <c r="AE336" s="25"/>
      <c r="AF336" s="11">
        <f t="shared" si="573"/>
        <v>0</v>
      </c>
      <c r="AG336" s="12"/>
      <c r="AH336" s="3"/>
      <c r="AI336" s="11">
        <f t="shared" si="574"/>
        <v>0</v>
      </c>
      <c r="AJ336" s="12"/>
      <c r="AK336" s="13"/>
      <c r="AL336" s="324">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661"/>
      <c r="B337" s="592"/>
      <c r="C337" s="664"/>
      <c r="D337" s="598"/>
      <c r="E337" s="668"/>
      <c r="F337" s="303" t="s">
        <v>108</v>
      </c>
      <c r="G337" s="25"/>
      <c r="H337" s="11"/>
      <c r="I337" s="12"/>
      <c r="J337" s="3"/>
      <c r="K337" s="11"/>
      <c r="L337" s="12"/>
      <c r="M337" s="3"/>
      <c r="N337" s="11"/>
      <c r="O337" s="12"/>
      <c r="P337" s="3"/>
      <c r="Q337" s="11"/>
      <c r="R337" s="12"/>
      <c r="S337" s="3"/>
      <c r="T337" s="11"/>
      <c r="U337" s="12"/>
      <c r="V337" s="3"/>
      <c r="W337" s="11"/>
      <c r="X337" s="127"/>
      <c r="Y337" s="191"/>
      <c r="Z337" s="11"/>
      <c r="AA337" s="190"/>
      <c r="AB337" s="25"/>
      <c r="AC337" s="11"/>
      <c r="AD337" s="12"/>
      <c r="AE337" s="25"/>
      <c r="AF337" s="11"/>
      <c r="AG337" s="12"/>
      <c r="AH337" s="3"/>
      <c r="AI337" s="11"/>
      <c r="AJ337" s="12"/>
      <c r="AK337" s="13"/>
      <c r="AL337" s="324"/>
      <c r="AM337" s="312"/>
      <c r="AN337" s="25"/>
      <c r="AO337" s="11"/>
      <c r="AP337" s="12"/>
      <c r="AQ337" s="3"/>
      <c r="AR337" s="11"/>
      <c r="AS337" s="12"/>
      <c r="AT337" s="3"/>
      <c r="AU337" s="11"/>
      <c r="AV337" s="12"/>
      <c r="AW337" s="3">
        <v>140400</v>
      </c>
      <c r="AX337" s="63"/>
    </row>
    <row r="338" spans="1:50">
      <c r="A338" s="661"/>
      <c r="B338" s="592"/>
      <c r="C338" s="664"/>
      <c r="D338" s="598"/>
      <c r="E338" s="668"/>
      <c r="F338" s="303" t="s">
        <v>40</v>
      </c>
      <c r="G338" s="25"/>
      <c r="H338" s="11"/>
      <c r="I338" s="12"/>
      <c r="J338" s="3"/>
      <c r="K338" s="11"/>
      <c r="L338" s="12"/>
      <c r="M338" s="3"/>
      <c r="N338" s="11"/>
      <c r="O338" s="12"/>
      <c r="P338" s="3"/>
      <c r="Q338" s="11"/>
      <c r="R338" s="12"/>
      <c r="S338" s="3"/>
      <c r="T338" s="11"/>
      <c r="U338" s="12"/>
      <c r="V338" s="3"/>
      <c r="W338" s="11"/>
      <c r="X338" s="127"/>
      <c r="Y338" s="191"/>
      <c r="Z338" s="11">
        <f t="shared" si="571"/>
        <v>0</v>
      </c>
      <c r="AA338" s="190"/>
      <c r="AB338" s="25"/>
      <c r="AC338" s="11">
        <v>0</v>
      </c>
      <c r="AD338" s="12"/>
      <c r="AE338" s="25"/>
      <c r="AF338" s="11">
        <v>0</v>
      </c>
      <c r="AG338" s="12"/>
      <c r="AH338" s="3"/>
      <c r="AI338" s="11">
        <f t="shared" si="574"/>
        <v>0</v>
      </c>
      <c r="AJ338" s="12"/>
      <c r="AK338" s="13"/>
      <c r="AL338" s="11">
        <f t="shared" si="575"/>
        <v>0</v>
      </c>
      <c r="AM338" s="312"/>
      <c r="AN338" s="25"/>
      <c r="AO338" s="11">
        <f t="shared" si="576"/>
        <v>0</v>
      </c>
      <c r="AP338" s="12"/>
      <c r="AQ338" s="444"/>
      <c r="AR338" s="166">
        <f t="shared" si="577"/>
        <v>0</v>
      </c>
      <c r="AS338" s="167"/>
      <c r="AT338" s="444"/>
      <c r="AU338" s="166"/>
      <c r="AV338" s="167"/>
      <c r="AW338" s="3">
        <v>1072373</v>
      </c>
      <c r="AX338" s="63"/>
    </row>
    <row r="339" spans="1:50">
      <c r="A339" s="661"/>
      <c r="B339" s="592"/>
      <c r="C339" s="664"/>
      <c r="D339" s="598"/>
      <c r="E339" s="668"/>
      <c r="F339" s="303"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1">
        <f t="shared" si="571"/>
        <v>0</v>
      </c>
      <c r="AA339" s="312"/>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661"/>
      <c r="B340" s="592"/>
      <c r="C340" s="664"/>
      <c r="D340" s="598"/>
      <c r="E340" s="668"/>
      <c r="F340" s="303"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0">
        <f>AX336/AX332</f>
        <v>1</v>
      </c>
    </row>
    <row r="341" spans="1:50">
      <c r="A341" s="662"/>
      <c r="B341" s="663"/>
      <c r="C341" s="665"/>
      <c r="D341" s="667"/>
      <c r="E341" s="669"/>
      <c r="F341" s="305" t="s">
        <v>44</v>
      </c>
      <c r="G341" s="292"/>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5">
        <f t="shared" si="571"/>
        <v>0</v>
      </c>
      <c r="AA341" s="21"/>
      <c r="AB341" s="292"/>
      <c r="AC341" s="16">
        <f t="shared" si="585"/>
        <v>0</v>
      </c>
      <c r="AD341" s="17"/>
      <c r="AE341" s="292"/>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4" t="s">
        <v>109</v>
      </c>
      <c r="G342" s="30"/>
      <c r="I342" s="31"/>
      <c r="J342" s="30"/>
      <c r="M342" s="326">
        <f t="shared" ref="M342:AV342" si="588">SUM(M7:M40)</f>
        <v>200000</v>
      </c>
      <c r="N342" s="327">
        <f t="shared" si="588"/>
        <v>0</v>
      </c>
      <c r="O342" s="328">
        <f t="shared" si="588"/>
        <v>200000</v>
      </c>
      <c r="P342" s="329">
        <f t="shared" si="588"/>
        <v>584147</v>
      </c>
      <c r="Q342" s="330">
        <f t="shared" si="588"/>
        <v>76830</v>
      </c>
      <c r="R342" s="330">
        <f t="shared" si="588"/>
        <v>507317</v>
      </c>
      <c r="S342" s="144">
        <f t="shared" si="588"/>
        <v>500000</v>
      </c>
      <c r="T342" s="144">
        <f t="shared" si="588"/>
        <v>0</v>
      </c>
      <c r="U342" s="174">
        <f t="shared" si="588"/>
        <v>500000</v>
      </c>
      <c r="V342" s="331">
        <f t="shared" si="588"/>
        <v>200000</v>
      </c>
      <c r="W342" s="332">
        <f t="shared" si="588"/>
        <v>0</v>
      </c>
      <c r="X342" s="175">
        <f t="shared" si="588"/>
        <v>200000</v>
      </c>
      <c r="Y342" s="333">
        <f t="shared" si="588"/>
        <v>350000</v>
      </c>
      <c r="Z342" s="333">
        <f t="shared" si="588"/>
        <v>52535</v>
      </c>
      <c r="AA342" s="333">
        <f t="shared" si="588"/>
        <v>297465</v>
      </c>
      <c r="AB342" s="331">
        <f t="shared" si="588"/>
        <v>200000</v>
      </c>
      <c r="AC342" s="332">
        <f t="shared" si="588"/>
        <v>7029</v>
      </c>
      <c r="AD342" s="175">
        <f t="shared" si="588"/>
        <v>192971</v>
      </c>
      <c r="AE342" s="331">
        <f t="shared" si="588"/>
        <v>464937</v>
      </c>
      <c r="AF342" s="332">
        <f t="shared" si="588"/>
        <v>0</v>
      </c>
      <c r="AG342" s="334">
        <f>SUM(AG7:AG28)</f>
        <v>200000</v>
      </c>
      <c r="AH342" s="331">
        <f t="shared" si="588"/>
        <v>342733</v>
      </c>
      <c r="AI342" s="332">
        <f t="shared" si="588"/>
        <v>0</v>
      </c>
      <c r="AJ342" s="175">
        <f t="shared" si="588"/>
        <v>342733</v>
      </c>
      <c r="AK342" s="335">
        <f t="shared" si="588"/>
        <v>200000</v>
      </c>
      <c r="AL342" s="336">
        <f t="shared" si="588"/>
        <v>200000</v>
      </c>
      <c r="AM342" s="337">
        <f t="shared" si="588"/>
        <v>0</v>
      </c>
      <c r="AN342" s="335">
        <f t="shared" si="588"/>
        <v>700000</v>
      </c>
      <c r="AO342" s="336">
        <f t="shared" si="588"/>
        <v>700000</v>
      </c>
      <c r="AP342" s="337">
        <f t="shared" si="588"/>
        <v>0</v>
      </c>
      <c r="AQ342" s="335">
        <f t="shared" si="588"/>
        <v>700000</v>
      </c>
      <c r="AR342" s="336">
        <f t="shared" si="588"/>
        <v>700000</v>
      </c>
      <c r="AS342" s="337">
        <f t="shared" si="588"/>
        <v>0</v>
      </c>
      <c r="AT342" s="335">
        <f t="shared" si="588"/>
        <v>700000</v>
      </c>
      <c r="AU342" s="336">
        <f t="shared" si="588"/>
        <v>700000</v>
      </c>
      <c r="AV342" s="337">
        <f t="shared" si="588"/>
        <v>0</v>
      </c>
      <c r="AW342" s="338"/>
      <c r="AX342" s="338"/>
    </row>
    <row r="343" spans="1:50">
      <c r="F343" s="395" t="s">
        <v>110</v>
      </c>
      <c r="G343" s="30"/>
      <c r="I343" s="31"/>
      <c r="J343" s="30"/>
      <c r="M343" s="326"/>
      <c r="N343" s="327"/>
      <c r="O343" s="328"/>
      <c r="P343" s="329"/>
      <c r="Q343" s="330"/>
      <c r="R343" s="330"/>
      <c r="S343" s="144"/>
      <c r="T343" s="144"/>
      <c r="U343" s="174"/>
      <c r="V343" s="339"/>
      <c r="W343" s="178"/>
      <c r="X343" s="340"/>
      <c r="Y343" s="340">
        <v>0</v>
      </c>
      <c r="Z343" s="178">
        <v>0</v>
      </c>
      <c r="AA343" s="341"/>
      <c r="AB343" s="339"/>
      <c r="AC343" s="178"/>
      <c r="AD343" s="340"/>
      <c r="AE343" s="339"/>
      <c r="AF343" s="178"/>
      <c r="AG343" s="342"/>
      <c r="AH343" s="339"/>
      <c r="AI343" s="178"/>
      <c r="AJ343" s="340"/>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8"/>
      <c r="AX343" s="338"/>
    </row>
    <row r="344" spans="1:50" ht="15" customHeight="1">
      <c r="F344" s="396" t="s">
        <v>111</v>
      </c>
      <c r="G344" s="30"/>
      <c r="I344" s="31"/>
      <c r="J344" s="30"/>
      <c r="M344" s="343">
        <f t="shared" ref="M344:AT344" si="590">SUM(M41:M75)</f>
        <v>0</v>
      </c>
      <c r="N344" s="344">
        <f t="shared" si="590"/>
        <v>0</v>
      </c>
      <c r="O344" s="345">
        <f t="shared" si="590"/>
        <v>0</v>
      </c>
      <c r="P344" s="346">
        <f t="shared" si="590"/>
        <v>283500</v>
      </c>
      <c r="Q344" s="347">
        <f t="shared" si="590"/>
        <v>0</v>
      </c>
      <c r="R344" s="347">
        <f t="shared" si="590"/>
        <v>283500</v>
      </c>
      <c r="S344" s="144">
        <f t="shared" si="590"/>
        <v>0</v>
      </c>
      <c r="T344" s="144">
        <f t="shared" si="590"/>
        <v>0</v>
      </c>
      <c r="U344" s="174">
        <f t="shared" si="590"/>
        <v>0</v>
      </c>
      <c r="V344" s="348">
        <f t="shared" si="590"/>
        <v>71720</v>
      </c>
      <c r="W344" s="144">
        <f t="shared" si="590"/>
        <v>0</v>
      </c>
      <c r="X344" s="174">
        <f t="shared" si="590"/>
        <v>71720</v>
      </c>
      <c r="Y344" s="339">
        <f t="shared" si="590"/>
        <v>0</v>
      </c>
      <c r="Z344" s="178">
        <f t="shared" si="590"/>
        <v>0</v>
      </c>
      <c r="AA344" s="174">
        <f t="shared" si="590"/>
        <v>0</v>
      </c>
      <c r="AB344" s="348">
        <f t="shared" si="590"/>
        <v>2281764</v>
      </c>
      <c r="AC344" s="144">
        <f t="shared" si="590"/>
        <v>49685</v>
      </c>
      <c r="AD344" s="174">
        <f t="shared" si="590"/>
        <v>2232079</v>
      </c>
      <c r="AE344" s="348">
        <f t="shared" si="590"/>
        <v>0</v>
      </c>
      <c r="AF344" s="144">
        <f t="shared" si="590"/>
        <v>0</v>
      </c>
      <c r="AG344" s="349">
        <f>SUM(AG29:AG75)</f>
        <v>264937</v>
      </c>
      <c r="AH344" s="348">
        <f t="shared" si="590"/>
        <v>252000</v>
      </c>
      <c r="AI344" s="144">
        <f t="shared" si="590"/>
        <v>0</v>
      </c>
      <c r="AJ344" s="174">
        <f t="shared" si="590"/>
        <v>252000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0"/>
      <c r="AX344" s="350"/>
    </row>
    <row r="345" spans="1:50">
      <c r="F345" s="397" t="s">
        <v>112</v>
      </c>
      <c r="G345" s="30"/>
      <c r="I345" s="31"/>
      <c r="J345" s="30"/>
      <c r="M345" s="343"/>
      <c r="N345" s="344"/>
      <c r="O345" s="345"/>
      <c r="P345" s="346"/>
      <c r="Q345" s="347"/>
      <c r="R345" s="347"/>
      <c r="S345" s="144"/>
      <c r="T345" s="144"/>
      <c r="U345" s="174"/>
      <c r="V345" s="348"/>
      <c r="W345" s="144"/>
      <c r="X345" s="174"/>
      <c r="Y345" s="348"/>
      <c r="Z345" s="351"/>
      <c r="AA345" s="352"/>
      <c r="AB345" s="348"/>
      <c r="AC345" s="144"/>
      <c r="AD345" s="174"/>
      <c r="AE345" s="348"/>
      <c r="AF345" s="144">
        <f>SUM(AF331:AF341)</f>
        <v>0</v>
      </c>
      <c r="AG345" s="349"/>
      <c r="AH345" s="348"/>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0</v>
      </c>
      <c r="AR345" s="85">
        <f t="shared" si="592"/>
        <v>0</v>
      </c>
      <c r="AS345" s="110">
        <f t="shared" si="592"/>
        <v>0</v>
      </c>
      <c r="AT345" s="109">
        <f t="shared" ref="AT345:AV345" si="593">SUM(AT331:AT341)</f>
        <v>0</v>
      </c>
      <c r="AU345" s="85">
        <f t="shared" si="593"/>
        <v>0</v>
      </c>
      <c r="AV345" s="110">
        <f t="shared" si="593"/>
        <v>0</v>
      </c>
      <c r="AW345" s="350"/>
      <c r="AX345" s="350"/>
    </row>
    <row r="346" spans="1:50">
      <c r="F346" s="398" t="s">
        <v>113</v>
      </c>
      <c r="G346" s="30"/>
      <c r="I346" s="31"/>
      <c r="J346" s="30"/>
      <c r="M346" s="343">
        <f t="shared" ref="M346:U346" si="594">SUM(M76:M185)</f>
        <v>714480</v>
      </c>
      <c r="N346" s="344">
        <f t="shared" si="594"/>
        <v>0</v>
      </c>
      <c r="O346" s="345">
        <f t="shared" si="594"/>
        <v>714480</v>
      </c>
      <c r="P346" s="346">
        <f t="shared" si="594"/>
        <v>1153153</v>
      </c>
      <c r="Q346" s="347">
        <f t="shared" si="594"/>
        <v>50727</v>
      </c>
      <c r="R346" s="347">
        <f t="shared" si="594"/>
        <v>1102426</v>
      </c>
      <c r="S346" s="144">
        <f t="shared" si="594"/>
        <v>3305869</v>
      </c>
      <c r="T346" s="144">
        <f t="shared" si="594"/>
        <v>0</v>
      </c>
      <c r="U346" s="174">
        <f t="shared" si="594"/>
        <v>3305869</v>
      </c>
      <c r="V346" s="348">
        <f>SUM(V78:V289)</f>
        <v>4310978</v>
      </c>
      <c r="W346" s="144">
        <f>SUM(W78:W289)</f>
        <v>0</v>
      </c>
      <c r="X346" s="174">
        <f>SUM(X78:X289)</f>
        <v>4310978</v>
      </c>
      <c r="Y346" s="353">
        <f>SUM(Y76:Y289)</f>
        <v>4269039</v>
      </c>
      <c r="Z346" s="144">
        <f>SUM(Z76:Z289)</f>
        <v>0</v>
      </c>
      <c r="AA346" s="354">
        <f>SUM(AA76:AA289)</f>
        <v>4269039</v>
      </c>
      <c r="AB346" s="348">
        <f t="shared" ref="AB346:AT346" si="595">SUM(AB78:AB289)</f>
        <v>1327000</v>
      </c>
      <c r="AC346" s="144">
        <f t="shared" si="595"/>
        <v>0</v>
      </c>
      <c r="AD346" s="174">
        <f t="shared" si="595"/>
        <v>1327000</v>
      </c>
      <c r="AE346" s="348">
        <f t="shared" si="595"/>
        <v>796815</v>
      </c>
      <c r="AF346" s="144">
        <f t="shared" si="595"/>
        <v>500000</v>
      </c>
      <c r="AG346" s="349">
        <f>SUM(AG78:AG289)</f>
        <v>296815</v>
      </c>
      <c r="AH346" s="348">
        <f t="shared" si="595"/>
        <v>6435319</v>
      </c>
      <c r="AI346" s="144">
        <f t="shared" si="595"/>
        <v>0</v>
      </c>
      <c r="AJ346" s="174">
        <f t="shared" si="595"/>
        <v>6435319</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0"/>
      <c r="AX346" s="350"/>
    </row>
    <row r="347" spans="1:50">
      <c r="F347" s="399" t="s">
        <v>114</v>
      </c>
      <c r="G347" s="30"/>
      <c r="I347" s="31"/>
      <c r="J347" s="30"/>
      <c r="M347" s="346">
        <f t="shared" ref="M347:U347" si="597">SUM(M186:M315)</f>
        <v>0</v>
      </c>
      <c r="N347" s="347">
        <f t="shared" si="597"/>
        <v>0</v>
      </c>
      <c r="O347" s="355">
        <f t="shared" si="597"/>
        <v>0</v>
      </c>
      <c r="P347" s="346">
        <f t="shared" si="597"/>
        <v>0</v>
      </c>
      <c r="Q347" s="347">
        <f t="shared" si="597"/>
        <v>0</v>
      </c>
      <c r="R347" s="347">
        <f t="shared" si="597"/>
        <v>0</v>
      </c>
      <c r="S347" s="144">
        <f t="shared" si="597"/>
        <v>451540</v>
      </c>
      <c r="T347" s="144">
        <f t="shared" si="597"/>
        <v>0</v>
      </c>
      <c r="U347" s="174">
        <f t="shared" si="597"/>
        <v>451540</v>
      </c>
      <c r="V347" s="348">
        <f t="shared" ref="V347:AJ347" si="598">SUM(V303:V315)</f>
        <v>352671</v>
      </c>
      <c r="W347" s="144">
        <f t="shared" si="598"/>
        <v>0</v>
      </c>
      <c r="X347" s="174">
        <f t="shared" si="598"/>
        <v>352671</v>
      </c>
      <c r="Y347" s="348">
        <f>688981</f>
        <v>688981</v>
      </c>
      <c r="Z347" s="178">
        <f t="shared" si="598"/>
        <v>0</v>
      </c>
      <c r="AA347" s="174">
        <f t="shared" si="598"/>
        <v>1653440</v>
      </c>
      <c r="AB347" s="348">
        <f t="shared" si="598"/>
        <v>0</v>
      </c>
      <c r="AC347" s="144">
        <f t="shared" si="598"/>
        <v>0</v>
      </c>
      <c r="AD347" s="174">
        <f t="shared" si="598"/>
        <v>0</v>
      </c>
      <c r="AE347" s="348">
        <f>SUM(AE303:AE315,AE331:AE341)</f>
        <v>158407</v>
      </c>
      <c r="AF347" s="144">
        <f t="shared" si="598"/>
        <v>0</v>
      </c>
      <c r="AG347" s="349">
        <f t="shared" si="598"/>
        <v>14407</v>
      </c>
      <c r="AH347" s="348">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0"/>
      <c r="AX347" s="350"/>
    </row>
    <row r="348" spans="1:50">
      <c r="F348" s="400" t="s">
        <v>115</v>
      </c>
      <c r="G348" s="30"/>
      <c r="I348" s="31"/>
      <c r="J348" s="30"/>
      <c r="M348" s="346"/>
      <c r="N348" s="347"/>
      <c r="O348" s="347"/>
      <c r="P348" s="346"/>
      <c r="Q348" s="347"/>
      <c r="R348" s="347"/>
      <c r="S348" s="144">
        <v>0</v>
      </c>
      <c r="T348" s="144">
        <v>0</v>
      </c>
      <c r="U348" s="174">
        <v>0</v>
      </c>
      <c r="V348" s="348">
        <f>SUM(0)</f>
        <v>0</v>
      </c>
      <c r="W348" s="144">
        <f t="shared" ref="W348:X348" si="601">SUM(0)</f>
        <v>0</v>
      </c>
      <c r="X348" s="174">
        <f t="shared" si="601"/>
        <v>0</v>
      </c>
      <c r="Y348" s="197">
        <f>964459</f>
        <v>964459</v>
      </c>
      <c r="AA348" s="174">
        <f>SUM(AA170)</f>
        <v>0</v>
      </c>
      <c r="AB348" s="348">
        <f>SUM(AB170)</f>
        <v>0</v>
      </c>
      <c r="AC348" s="144">
        <f>SUM(AC170)</f>
        <v>0</v>
      </c>
      <c r="AD348" s="174">
        <f>SUM(AD170)</f>
        <v>0</v>
      </c>
      <c r="AE348" s="348"/>
      <c r="AF348" s="144"/>
      <c r="AG348" s="349"/>
      <c r="AH348" s="348"/>
      <c r="AI348" s="144">
        <f>SUM(AI170)</f>
        <v>0</v>
      </c>
      <c r="AJ348" s="174">
        <f>SUM(AJ170)</f>
        <v>0</v>
      </c>
      <c r="AK348" s="109"/>
      <c r="AL348" s="85"/>
      <c r="AM348" s="110"/>
      <c r="AN348" s="109"/>
      <c r="AO348" s="85"/>
      <c r="AP348" s="110"/>
      <c r="AQ348" s="109"/>
      <c r="AR348" s="85"/>
      <c r="AS348" s="110"/>
      <c r="AT348" s="109"/>
      <c r="AU348" s="85"/>
      <c r="AV348" s="110"/>
      <c r="AW348" s="350"/>
      <c r="AX348" s="350"/>
    </row>
    <row r="349" spans="1:50">
      <c r="F349" s="55" t="s">
        <v>116</v>
      </c>
      <c r="G349" s="58">
        <f>SUM(G5:G344)</f>
        <v>327000</v>
      </c>
      <c r="H349" s="56">
        <f>SUM(H5:H342)</f>
        <v>0</v>
      </c>
      <c r="I349" s="57">
        <f>SUM(I5:I342)</f>
        <v>327000</v>
      </c>
      <c r="J349" s="58">
        <f>SUM(J5:J342)</f>
        <v>4203556</v>
      </c>
      <c r="K349" s="56">
        <f>SUM(K5:K342)</f>
        <v>0</v>
      </c>
      <c r="L349" s="56">
        <f>SUM(L5:L342)</f>
        <v>4203556</v>
      </c>
      <c r="M349" s="343">
        <f t="shared" ref="M349:U349" si="602">SUM(M342:M347)</f>
        <v>914480</v>
      </c>
      <c r="N349" s="344">
        <f t="shared" si="602"/>
        <v>0</v>
      </c>
      <c r="O349" s="345">
        <f t="shared" si="602"/>
        <v>914480</v>
      </c>
      <c r="P349" s="346">
        <f t="shared" si="602"/>
        <v>2020800</v>
      </c>
      <c r="Q349" s="347">
        <f t="shared" si="602"/>
        <v>127557</v>
      </c>
      <c r="R349" s="347">
        <f t="shared" si="602"/>
        <v>1893243</v>
      </c>
      <c r="S349" s="144">
        <f t="shared" si="602"/>
        <v>4257409</v>
      </c>
      <c r="T349" s="144">
        <f t="shared" si="602"/>
        <v>0</v>
      </c>
      <c r="U349" s="174">
        <f t="shared" si="602"/>
        <v>4257409</v>
      </c>
      <c r="V349" s="348">
        <f>SUM(V342:V348)</f>
        <v>4935369</v>
      </c>
      <c r="W349" s="144">
        <f>SUM(W342:W348)</f>
        <v>0</v>
      </c>
      <c r="X349" s="174">
        <f>SUM(X342:X348)</f>
        <v>4935369</v>
      </c>
      <c r="Y349" s="348">
        <f t="shared" ref="Y349:AG349" si="603">SUM(Y342:Y348)</f>
        <v>6272479</v>
      </c>
      <c r="Z349" s="144">
        <f t="shared" si="603"/>
        <v>52535</v>
      </c>
      <c r="AA349" s="174">
        <f t="shared" si="603"/>
        <v>6219944</v>
      </c>
      <c r="AB349" s="348">
        <f>SUM(AB342:AB348)</f>
        <v>3808764</v>
      </c>
      <c r="AC349" s="144">
        <f>SUM(AC342:AC348)</f>
        <v>56714</v>
      </c>
      <c r="AD349" s="174">
        <f t="shared" si="603"/>
        <v>3752050</v>
      </c>
      <c r="AE349" s="348">
        <f t="shared" si="603"/>
        <v>1420159</v>
      </c>
      <c r="AF349" s="144">
        <f t="shared" si="603"/>
        <v>500000</v>
      </c>
      <c r="AG349" s="349">
        <f>SUM(AG342:AG348)</f>
        <v>776159</v>
      </c>
      <c r="AH349" s="348">
        <f t="shared" ref="AH349:AM349" si="604">SUM(AH342:AH348)</f>
        <v>7030052</v>
      </c>
      <c r="AI349" s="144">
        <f t="shared" si="604"/>
        <v>0</v>
      </c>
      <c r="AJ349" s="174">
        <f t="shared" si="604"/>
        <v>7030052</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5143460</v>
      </c>
      <c r="AR349" s="85">
        <f t="shared" si="606"/>
        <v>5143460</v>
      </c>
      <c r="AS349" s="110">
        <f t="shared" si="606"/>
        <v>0</v>
      </c>
      <c r="AT349" s="109">
        <f t="shared" ref="AT349:AV349" si="607">SUM(AT342:AT348)</f>
        <v>5746200</v>
      </c>
      <c r="AU349" s="85">
        <f t="shared" si="607"/>
        <v>5746200</v>
      </c>
      <c r="AV349" s="110">
        <f t="shared" si="607"/>
        <v>0</v>
      </c>
      <c r="AW349" s="356">
        <f>SUM(AW5:AW173)</f>
        <v>3245889</v>
      </c>
      <c r="AX349" s="357"/>
    </row>
    <row r="350" spans="1:50">
      <c r="G350" s="59"/>
      <c r="H350" s="358">
        <f>H349/G349</f>
        <v>0</v>
      </c>
      <c r="I350" s="359">
        <f>I349/G349</f>
        <v>1</v>
      </c>
      <c r="J350" s="59"/>
      <c r="K350" s="358">
        <f>K349/J349</f>
        <v>0</v>
      </c>
      <c r="L350" s="358">
        <f>L349/J349</f>
        <v>1</v>
      </c>
      <c r="M350" s="360"/>
      <c r="N350" s="361">
        <f>N349/M349</f>
        <v>0</v>
      </c>
      <c r="O350" s="362">
        <f>O349/M349</f>
        <v>1</v>
      </c>
      <c r="P350" s="360"/>
      <c r="Q350" s="361">
        <f>Q349/P349</f>
        <v>6.3122030878859856E-2</v>
      </c>
      <c r="R350" s="363">
        <f>R349/P349</f>
        <v>0.93687796912114019</v>
      </c>
      <c r="S350" s="145"/>
      <c r="T350" s="364">
        <f>T349/S349</f>
        <v>0</v>
      </c>
      <c r="U350" s="365">
        <f>U349/S349</f>
        <v>1</v>
      </c>
      <c r="V350" s="366"/>
      <c r="W350" s="364">
        <f>W349/V349</f>
        <v>0</v>
      </c>
      <c r="X350" s="365">
        <f>X349/V349</f>
        <v>1</v>
      </c>
      <c r="Y350" s="366"/>
      <c r="Z350" s="364">
        <f>Z349/Y349</f>
        <v>8.3754764264655172E-3</v>
      </c>
      <c r="AA350" s="365">
        <f>AA349/Y349</f>
        <v>0.99162452357353448</v>
      </c>
      <c r="AB350" s="366"/>
      <c r="AC350" s="364">
        <f>AC349/AB349</f>
        <v>1.4890394889260663E-2</v>
      </c>
      <c r="AD350" s="365">
        <f>AD349/AB349</f>
        <v>0.98510960511073931</v>
      </c>
      <c r="AE350" s="366"/>
      <c r="AF350" s="364">
        <f>AF349/AE349</f>
        <v>0.35207325376947229</v>
      </c>
      <c r="AG350" s="367">
        <f>AG349/AE349</f>
        <v>0.54652964914491964</v>
      </c>
      <c r="AH350" s="366"/>
      <c r="AI350" s="364">
        <f>AI349/AH349</f>
        <v>0</v>
      </c>
      <c r="AJ350" s="365">
        <f>AJ349/AH349</f>
        <v>1</v>
      </c>
      <c r="AK350" s="111"/>
      <c r="AL350" s="368">
        <f>AL349/AK349</f>
        <v>1</v>
      </c>
      <c r="AM350" s="369">
        <f>AM349/AK349</f>
        <v>0</v>
      </c>
      <c r="AN350" s="111"/>
      <c r="AO350" s="368">
        <f>AO349/AN349</f>
        <v>1</v>
      </c>
      <c r="AP350" s="369">
        <f>AP349/AN349</f>
        <v>0</v>
      </c>
      <c r="AQ350" s="111"/>
      <c r="AR350" s="368">
        <f>AR349/AQ349</f>
        <v>1</v>
      </c>
      <c r="AS350" s="369">
        <f>AS349/AQ349</f>
        <v>0</v>
      </c>
      <c r="AT350" s="111"/>
      <c r="AU350" s="368">
        <f>AU349/AT349</f>
        <v>1</v>
      </c>
      <c r="AV350" s="369">
        <f>AV349/AT349</f>
        <v>0</v>
      </c>
      <c r="AW350" s="350"/>
      <c r="AX350" s="350"/>
    </row>
    <row r="351" spans="1:50">
      <c r="G351" s="30"/>
      <c r="I351" s="31"/>
      <c r="J351" s="30"/>
      <c r="M351" s="370"/>
      <c r="N351" s="371"/>
      <c r="O351" s="60"/>
      <c r="P351" s="370"/>
      <c r="Q351" s="371"/>
      <c r="R351" s="60"/>
      <c r="S351" s="372"/>
      <c r="T351" s="373"/>
      <c r="U351" s="374"/>
      <c r="V351" s="375"/>
      <c r="W351" s="376"/>
      <c r="X351" s="377"/>
      <c r="Y351" s="375"/>
      <c r="Z351" s="376"/>
      <c r="AA351" s="377"/>
      <c r="AB351" s="375"/>
      <c r="AC351" s="376"/>
      <c r="AD351" s="377"/>
      <c r="AE351" s="375"/>
      <c r="AF351" s="376"/>
      <c r="AG351" s="378"/>
      <c r="AH351" s="375"/>
      <c r="AI351" s="376"/>
      <c r="AJ351" s="377"/>
      <c r="AK351" s="121"/>
      <c r="AL351" s="122"/>
      <c r="AM351" s="379"/>
      <c r="AN351" s="121"/>
      <c r="AO351" s="122"/>
      <c r="AP351" s="379"/>
      <c r="AQ351" s="121"/>
      <c r="AR351" s="122"/>
      <c r="AS351" s="379"/>
      <c r="AT351" s="121"/>
      <c r="AU351" s="122"/>
      <c r="AV351" s="379"/>
      <c r="AW351" s="380"/>
      <c r="AX351" s="380"/>
    </row>
    <row r="352" spans="1:50">
      <c r="D352" s="725" t="s">
        <v>117</v>
      </c>
      <c r="E352" s="725"/>
      <c r="F352" s="725"/>
      <c r="G352" s="698" t="s">
        <v>118</v>
      </c>
      <c r="H352" s="698"/>
      <c r="I352" s="698"/>
      <c r="J352" s="698" t="s">
        <v>118</v>
      </c>
      <c r="K352" s="698"/>
      <c r="L352" s="698"/>
      <c r="M352" s="699" t="s">
        <v>119</v>
      </c>
      <c r="N352" s="699"/>
      <c r="O352" s="699"/>
      <c r="P352" s="700" t="s">
        <v>117</v>
      </c>
      <c r="Q352" s="700"/>
      <c r="R352" s="700"/>
      <c r="S352" s="700" t="s">
        <v>117</v>
      </c>
      <c r="T352" s="700"/>
      <c r="U352" s="700"/>
      <c r="V352" s="696" t="s">
        <v>117</v>
      </c>
      <c r="W352" s="696"/>
      <c r="X352" s="696"/>
      <c r="Y352" s="696" t="s">
        <v>117</v>
      </c>
      <c r="Z352" s="696"/>
      <c r="AA352" s="696"/>
      <c r="AB352" s="696" t="s">
        <v>117</v>
      </c>
      <c r="AC352" s="696"/>
      <c r="AD352" s="696"/>
      <c r="AE352" s="696" t="s">
        <v>117</v>
      </c>
      <c r="AF352" s="696"/>
      <c r="AG352" s="696"/>
      <c r="AH352" s="696" t="s">
        <v>117</v>
      </c>
      <c r="AI352" s="696"/>
      <c r="AJ352" s="696"/>
      <c r="AK352" s="696" t="s">
        <v>117</v>
      </c>
      <c r="AL352" s="696"/>
      <c r="AM352" s="696"/>
      <c r="AN352" s="696" t="s">
        <v>117</v>
      </c>
      <c r="AO352" s="696"/>
      <c r="AP352" s="696"/>
      <c r="AQ352" s="696" t="s">
        <v>117</v>
      </c>
      <c r="AR352" s="696"/>
      <c r="AS352" s="696"/>
      <c r="AT352" s="696" t="s">
        <v>117</v>
      </c>
      <c r="AU352" s="696"/>
      <c r="AV352" s="696"/>
      <c r="AW352" s="701" t="s">
        <v>120</v>
      </c>
      <c r="AX352" s="702"/>
    </row>
    <row r="353" spans="2:50">
      <c r="B353" s="381"/>
      <c r="C353" s="381"/>
      <c r="D353" s="730" t="s">
        <v>121</v>
      </c>
      <c r="E353" s="730"/>
      <c r="F353" s="730"/>
      <c r="I353" s="382">
        <f>SUM(F353+490926)</f>
        <v>490926</v>
      </c>
      <c r="J353" s="30"/>
      <c r="L353" s="383">
        <f>SUM(2417386-37680-89526-60474)</f>
        <v>2229706</v>
      </c>
      <c r="M353" s="360"/>
      <c r="N353" s="384"/>
      <c r="O353" s="385">
        <v>1075937</v>
      </c>
      <c r="P353" s="360"/>
      <c r="Q353" s="384"/>
      <c r="R353" s="385">
        <v>1091828</v>
      </c>
      <c r="S353" s="360"/>
      <c r="T353" s="384"/>
      <c r="U353" s="385">
        <v>1087358</v>
      </c>
      <c r="V353" s="360"/>
      <c r="W353" s="384"/>
      <c r="X353" s="385">
        <v>1329812</v>
      </c>
      <c r="Y353" s="360"/>
      <c r="Z353" s="384"/>
      <c r="AA353" s="385">
        <v>421141</v>
      </c>
      <c r="AB353" s="360"/>
      <c r="AC353" s="384"/>
      <c r="AD353" s="385">
        <v>690952</v>
      </c>
      <c r="AE353" s="360"/>
      <c r="AF353" s="384"/>
      <c r="AG353" s="386">
        <f>684115+36602-901.62</f>
        <v>719815.38</v>
      </c>
      <c r="AH353" s="360"/>
      <c r="AI353" s="384"/>
      <c r="AJ353" s="386">
        <f>673645-234045</f>
        <v>439600</v>
      </c>
      <c r="AK353" s="360"/>
      <c r="AL353" s="384"/>
      <c r="AM353" s="386">
        <v>684115</v>
      </c>
      <c r="AN353" s="360"/>
      <c r="AO353" s="384"/>
      <c r="AP353" s="386">
        <v>684115</v>
      </c>
      <c r="AQ353" s="360"/>
      <c r="AR353" s="384"/>
      <c r="AS353" s="386">
        <v>684115</v>
      </c>
      <c r="AT353" s="360"/>
      <c r="AU353" s="384"/>
      <c r="AV353" s="386">
        <v>684115</v>
      </c>
      <c r="AW353" s="440">
        <f>AS353</f>
        <v>684115</v>
      </c>
      <c r="AX353" s="441" t="s">
        <v>122</v>
      </c>
    </row>
    <row r="354" spans="2:50">
      <c r="B354" s="381"/>
      <c r="C354" s="381"/>
      <c r="D354" s="724" t="s">
        <v>123</v>
      </c>
      <c r="E354" s="724"/>
      <c r="F354" s="724"/>
      <c r="I354" s="382">
        <f>SUM(F354+490926)</f>
        <v>490926</v>
      </c>
      <c r="J354" s="30"/>
      <c r="L354" s="383">
        <f>SUM(2417386-37680-89526-60474)</f>
        <v>2229706</v>
      </c>
      <c r="M354" s="360"/>
      <c r="N354" s="384"/>
      <c r="O354" s="385">
        <v>1075937</v>
      </c>
      <c r="P354" s="360"/>
      <c r="Q354" s="384"/>
      <c r="R354" s="385"/>
      <c r="S354" s="360"/>
      <c r="T354" s="384"/>
      <c r="U354" s="385"/>
      <c r="V354" s="360"/>
      <c r="W354" s="384"/>
      <c r="X354" s="385"/>
      <c r="Y354" s="360"/>
      <c r="Z354" s="384"/>
      <c r="AA354" s="385">
        <v>841664</v>
      </c>
      <c r="AB354" s="360"/>
      <c r="AC354" s="384"/>
      <c r="AD354" s="385">
        <v>433499</v>
      </c>
      <c r="AE354" s="360"/>
      <c r="AF354" s="384"/>
      <c r="AG354" s="386">
        <f>421024+27876-901.62</f>
        <v>447998.38</v>
      </c>
      <c r="AH354" s="360"/>
      <c r="AI354" s="384"/>
      <c r="AJ354" s="386">
        <f>428864-24117</f>
        <v>404747</v>
      </c>
      <c r="AK354" s="360"/>
      <c r="AL354" s="384"/>
      <c r="AM354" s="386">
        <v>421024</v>
      </c>
      <c r="AN354" s="360"/>
      <c r="AO354" s="384"/>
      <c r="AP354" s="386">
        <v>421024</v>
      </c>
      <c r="AQ354" s="360"/>
      <c r="AR354" s="384"/>
      <c r="AS354" s="386">
        <v>421024</v>
      </c>
      <c r="AT354" s="360"/>
      <c r="AU354" s="384"/>
      <c r="AV354" s="386">
        <v>421024</v>
      </c>
      <c r="AW354" s="425">
        <f>AS354</f>
        <v>421024</v>
      </c>
      <c r="AX354" s="430" t="s">
        <v>122</v>
      </c>
    </row>
    <row r="355" spans="2:50">
      <c r="B355" s="381"/>
      <c r="C355" s="381"/>
      <c r="D355" s="731" t="s">
        <v>124</v>
      </c>
      <c r="E355" s="731"/>
      <c r="F355" s="731"/>
      <c r="I355" s="382">
        <f>SUM(F355+490926)</f>
        <v>490926</v>
      </c>
      <c r="J355" s="30"/>
      <c r="L355" s="383">
        <f>SUM(2417386-37680-89526-60474)</f>
        <v>2229706</v>
      </c>
      <c r="M355" s="360"/>
      <c r="N355" s="384"/>
      <c r="O355" s="385">
        <v>689979</v>
      </c>
      <c r="P355" s="360"/>
      <c r="Q355" s="384"/>
      <c r="R355" s="385">
        <v>700399</v>
      </c>
      <c r="S355" s="360"/>
      <c r="T355" s="384"/>
      <c r="U355" s="385">
        <v>679689</v>
      </c>
      <c r="V355" s="360"/>
      <c r="W355" s="384"/>
      <c r="X355" s="385">
        <v>838526</v>
      </c>
      <c r="Y355" s="360"/>
      <c r="Z355" s="384"/>
      <c r="AA355" s="385">
        <v>425829</v>
      </c>
      <c r="AB355" s="360"/>
      <c r="AC355" s="384"/>
      <c r="AD355" s="385">
        <v>427308</v>
      </c>
      <c r="AE355" s="360"/>
      <c r="AF355" s="384"/>
      <c r="AG355" s="386">
        <f>408754+5040-901.62</f>
        <v>412892.38</v>
      </c>
      <c r="AH355" s="360"/>
      <c r="AI355" s="384"/>
      <c r="AJ355" s="386">
        <f>438847-8523</f>
        <v>430324</v>
      </c>
      <c r="AK355" s="360"/>
      <c r="AL355" s="384"/>
      <c r="AM355" s="386">
        <v>408754</v>
      </c>
      <c r="AN355" s="360"/>
      <c r="AO355" s="384"/>
      <c r="AP355" s="386">
        <v>408754</v>
      </c>
      <c r="AQ355" s="360"/>
      <c r="AR355" s="384"/>
      <c r="AS355" s="386">
        <v>408754</v>
      </c>
      <c r="AT355" s="360"/>
      <c r="AU355" s="384"/>
      <c r="AV355" s="386">
        <v>408754</v>
      </c>
      <c r="AW355" s="425">
        <f>AS355</f>
        <v>408754</v>
      </c>
      <c r="AX355" s="430" t="s">
        <v>125</v>
      </c>
    </row>
    <row r="356" spans="2:50">
      <c r="B356" s="381"/>
      <c r="C356" s="381"/>
      <c r="D356" s="732" t="s">
        <v>126</v>
      </c>
      <c r="E356" s="732"/>
      <c r="F356" s="732"/>
      <c r="I356" s="382"/>
      <c r="J356" s="30"/>
      <c r="L356" s="383"/>
      <c r="M356" s="360"/>
      <c r="N356" s="384"/>
      <c r="O356" s="385"/>
      <c r="P356" s="360"/>
      <c r="Q356" s="384"/>
      <c r="R356" s="385"/>
      <c r="S356" s="360"/>
      <c r="T356" s="384"/>
      <c r="U356" s="385"/>
      <c r="V356" s="360"/>
      <c r="W356" s="384"/>
      <c r="X356" s="385"/>
      <c r="Y356" s="360"/>
      <c r="Z356" s="384"/>
      <c r="AA356" s="385">
        <v>157057</v>
      </c>
      <c r="AB356" s="360"/>
      <c r="AC356" s="384"/>
      <c r="AD356" s="385">
        <v>160198</v>
      </c>
      <c r="AE356" s="360"/>
      <c r="AF356" s="384"/>
      <c r="AG356" s="386">
        <f>155746+8117-901.62</f>
        <v>162961.38</v>
      </c>
      <c r="AH356" s="360"/>
      <c r="AI356" s="384"/>
      <c r="AJ356" s="386">
        <f>158646-97827</f>
        <v>60819</v>
      </c>
      <c r="AK356" s="360"/>
      <c r="AL356" s="384"/>
      <c r="AM356" s="386">
        <v>155746</v>
      </c>
      <c r="AN356" s="360"/>
      <c r="AO356" s="384"/>
      <c r="AP356" s="386">
        <v>155746</v>
      </c>
      <c r="AQ356" s="360"/>
      <c r="AR356" s="384"/>
      <c r="AS356" s="386">
        <v>155746</v>
      </c>
      <c r="AT356" s="360"/>
      <c r="AU356" s="384"/>
      <c r="AV356" s="386">
        <v>155746</v>
      </c>
      <c r="AW356" s="425">
        <v>157057</v>
      </c>
      <c r="AX356" s="430" t="s">
        <v>127</v>
      </c>
    </row>
    <row r="357" spans="2:50">
      <c r="B357" s="381"/>
      <c r="C357" s="381"/>
      <c r="D357" s="727" t="s">
        <v>128</v>
      </c>
      <c r="E357" s="727"/>
      <c r="F357" s="727"/>
      <c r="I357" s="382">
        <f>SUM(F357+490926)</f>
        <v>490926</v>
      </c>
      <c r="J357" s="30"/>
      <c r="L357" s="383">
        <f>SUM(2417386-37680-89526-60474)</f>
        <v>2229706</v>
      </c>
      <c r="M357" s="360"/>
      <c r="N357" s="384"/>
      <c r="O357" s="385">
        <v>2623918</v>
      </c>
      <c r="P357" s="360"/>
      <c r="Q357" s="384"/>
      <c r="R357" s="385">
        <v>2729203</v>
      </c>
      <c r="S357" s="360"/>
      <c r="T357" s="384"/>
      <c r="U357" s="385">
        <v>2694466</v>
      </c>
      <c r="V357" s="360"/>
      <c r="W357" s="384"/>
      <c r="X357" s="385">
        <v>3262252</v>
      </c>
      <c r="Y357" s="360"/>
      <c r="Z357" s="384"/>
      <c r="AA357" s="385">
        <f>SUM(3498325+876427+134029)</f>
        <v>4508781</v>
      </c>
      <c r="AB357" s="360"/>
      <c r="AC357" s="384"/>
      <c r="AD357" s="385">
        <v>3568291</v>
      </c>
      <c r="AE357" s="360"/>
      <c r="AF357" s="384"/>
      <c r="AG357" s="386">
        <f>3465611+229463-901.62</f>
        <v>3694172.38</v>
      </c>
      <c r="AH357" s="360"/>
      <c r="AI357" s="384"/>
      <c r="AJ357" s="386">
        <f>3530146-198519+404526</f>
        <v>3736153</v>
      </c>
      <c r="AK357" s="360"/>
      <c r="AL357" s="384"/>
      <c r="AM357" s="386">
        <v>3465611</v>
      </c>
      <c r="AN357" s="360"/>
      <c r="AO357" s="384"/>
      <c r="AP357" s="386">
        <v>3465611</v>
      </c>
      <c r="AQ357" s="360"/>
      <c r="AR357" s="384"/>
      <c r="AS357" s="386">
        <v>3465611</v>
      </c>
      <c r="AT357" s="360"/>
      <c r="AU357" s="384"/>
      <c r="AV357" s="386">
        <v>3465611</v>
      </c>
      <c r="AW357" s="425">
        <f>AS357</f>
        <v>3465611</v>
      </c>
      <c r="AX357" s="430" t="s">
        <v>129</v>
      </c>
    </row>
    <row r="358" spans="2:50">
      <c r="B358" s="381"/>
      <c r="C358" s="381"/>
      <c r="D358" s="728" t="s">
        <v>130</v>
      </c>
      <c r="E358" s="728"/>
      <c r="F358" s="728"/>
      <c r="I358" s="382">
        <f>SUM(F358+490926)</f>
        <v>490926</v>
      </c>
      <c r="J358" s="30"/>
      <c r="L358" s="383">
        <f>SUM(2417386-37680-89526-60474)</f>
        <v>2229706</v>
      </c>
      <c r="M358" s="360"/>
      <c r="N358" s="384"/>
      <c r="O358" s="385">
        <v>234147</v>
      </c>
      <c r="P358" s="360"/>
      <c r="Q358" s="384"/>
      <c r="R358" s="385">
        <v>233452</v>
      </c>
      <c r="S358" s="360"/>
      <c r="T358" s="384"/>
      <c r="U358" s="385">
        <v>234664</v>
      </c>
      <c r="V358" s="360"/>
      <c r="W358" s="384"/>
      <c r="X358" s="385">
        <v>319525</v>
      </c>
      <c r="Y358" s="360"/>
      <c r="Z358" s="384"/>
      <c r="AA358" s="385">
        <v>487093</v>
      </c>
      <c r="AB358" s="360"/>
      <c r="AC358" s="384"/>
      <c r="AD358" s="385">
        <v>496835</v>
      </c>
      <c r="AE358" s="360"/>
      <c r="AF358" s="384"/>
      <c r="AG358" s="386">
        <f>31950+482539-901.62</f>
        <v>513587.38</v>
      </c>
      <c r="AH358" s="360"/>
      <c r="AI358" s="384"/>
      <c r="AJ358" s="386">
        <f>491524-27641+55769</f>
        <v>519652</v>
      </c>
      <c r="AK358" s="360"/>
      <c r="AL358" s="384"/>
      <c r="AM358" s="386">
        <v>482539</v>
      </c>
      <c r="AN358" s="360"/>
      <c r="AO358" s="384"/>
      <c r="AP358" s="386">
        <v>482539</v>
      </c>
      <c r="AQ358" s="360"/>
      <c r="AR358" s="384"/>
      <c r="AS358" s="386">
        <v>482539</v>
      </c>
      <c r="AT358" s="360"/>
      <c r="AU358" s="384"/>
      <c r="AV358" s="386">
        <v>482539</v>
      </c>
      <c r="AW358" s="434">
        <f>AS358</f>
        <v>482539</v>
      </c>
      <c r="AX358" s="431" t="s">
        <v>131</v>
      </c>
    </row>
    <row r="359" spans="2:50" ht="15">
      <c r="D359" s="707" t="s">
        <v>132</v>
      </c>
      <c r="E359" s="707"/>
      <c r="F359" s="707"/>
      <c r="I359" s="382"/>
      <c r="J359" s="30"/>
      <c r="L359" s="383"/>
      <c r="M359" s="360"/>
      <c r="N359" s="384"/>
      <c r="O359" s="385"/>
      <c r="P359" s="360"/>
      <c r="Q359" s="384"/>
      <c r="R359" s="385"/>
      <c r="S359" s="360"/>
      <c r="T359" s="384"/>
      <c r="U359" s="385"/>
      <c r="V359" s="360"/>
      <c r="W359" s="384"/>
      <c r="X359" s="385">
        <f>SUM(V348)</f>
        <v>0</v>
      </c>
      <c r="Y359" s="360"/>
      <c r="Z359" s="384"/>
      <c r="AA359" s="56">
        <v>1262685</v>
      </c>
      <c r="AB359" s="360"/>
      <c r="AC359" s="384"/>
      <c r="AD359" s="385">
        <f>SUM(AB348)</f>
        <v>0</v>
      </c>
      <c r="AE359" s="360"/>
      <c r="AF359" s="384"/>
      <c r="AG359" s="386">
        <v>-310685</v>
      </c>
      <c r="AH359" s="360"/>
      <c r="AI359" s="384"/>
      <c r="AJ359" s="386">
        <f>500000+840223</f>
        <v>1340223</v>
      </c>
      <c r="AK359" s="360"/>
      <c r="AL359" s="384"/>
      <c r="AM359" s="386">
        <f>150000-500000</f>
        <v>-350000</v>
      </c>
      <c r="AN359" s="360"/>
      <c r="AO359" s="384"/>
      <c r="AP359" s="386">
        <f>-840223</f>
        <v>-840223</v>
      </c>
      <c r="AQ359" s="360"/>
      <c r="AR359" s="384"/>
      <c r="AS359" s="386">
        <v>160685</v>
      </c>
      <c r="AT359" s="360"/>
      <c r="AU359" s="384"/>
      <c r="AV359" s="386">
        <v>0</v>
      </c>
      <c r="AW359" s="435">
        <v>0</v>
      </c>
      <c r="AX359" s="432"/>
    </row>
    <row r="360" spans="2:50">
      <c r="D360" s="729" t="s">
        <v>133</v>
      </c>
      <c r="E360" s="729"/>
      <c r="F360" s="729"/>
      <c r="I360" s="382"/>
      <c r="J360" s="30"/>
      <c r="L360" s="383"/>
      <c r="M360" s="360"/>
      <c r="N360" s="384"/>
      <c r="O360" s="385"/>
      <c r="P360" s="360"/>
      <c r="Q360" s="384"/>
      <c r="R360" s="385"/>
      <c r="S360" s="360"/>
      <c r="T360" s="384"/>
      <c r="U360" s="385"/>
      <c r="V360" s="360"/>
      <c r="W360" s="384"/>
      <c r="X360" s="385"/>
      <c r="Y360" s="360"/>
      <c r="Z360" s="384"/>
      <c r="AA360" s="56"/>
      <c r="AB360" s="360"/>
      <c r="AC360" s="384"/>
      <c r="AD360" s="385">
        <v>169884</v>
      </c>
      <c r="AE360" s="360"/>
      <c r="AF360" s="384"/>
      <c r="AG360" s="386">
        <f>165221+8671-901.62</f>
        <v>172990.38</v>
      </c>
      <c r="AH360" s="360"/>
      <c r="AI360" s="384"/>
      <c r="AJ360" s="386">
        <f>168298-69764</f>
        <v>98534</v>
      </c>
      <c r="AK360" s="360"/>
      <c r="AL360" s="384"/>
      <c r="AM360" s="386">
        <v>165221</v>
      </c>
      <c r="AN360" s="360"/>
      <c r="AO360" s="384"/>
      <c r="AP360" s="386">
        <v>165221</v>
      </c>
      <c r="AQ360" s="360"/>
      <c r="AR360" s="384"/>
      <c r="AS360" s="386">
        <v>165221</v>
      </c>
      <c r="AT360" s="360"/>
      <c r="AU360" s="384"/>
      <c r="AV360" s="386">
        <v>165221</v>
      </c>
      <c r="AW360" s="436">
        <f>AS360</f>
        <v>165221</v>
      </c>
      <c r="AX360" s="433"/>
    </row>
    <row r="361" spans="2:50">
      <c r="D361" s="729" t="s">
        <v>134</v>
      </c>
      <c r="E361" s="729"/>
      <c r="F361" s="729"/>
      <c r="G361" s="387"/>
      <c r="H361" s="387"/>
      <c r="I361" s="388">
        <f>SUM(I353:I358)</f>
        <v>2454630</v>
      </c>
      <c r="J361" s="59"/>
      <c r="K361" s="387"/>
      <c r="L361" s="389">
        <f>SUM(L353:L358)</f>
        <v>11148530</v>
      </c>
      <c r="M361" s="360"/>
      <c r="N361" s="384"/>
      <c r="O361" s="385">
        <f>SUM(O353:O358)</f>
        <v>5699918</v>
      </c>
      <c r="P361" s="360"/>
      <c r="Q361" s="384"/>
      <c r="R361" s="385">
        <f>SUM(R353:R358)</f>
        <v>4754882</v>
      </c>
      <c r="S361" s="360"/>
      <c r="T361" s="384"/>
      <c r="U361" s="385">
        <f>SUM(U353:U358)</f>
        <v>4696177</v>
      </c>
      <c r="V361" s="360"/>
      <c r="W361" s="384"/>
      <c r="X361" s="385">
        <f>SUM(X353:X359)</f>
        <v>5750115</v>
      </c>
      <c r="Y361" s="360"/>
      <c r="Z361" s="384"/>
      <c r="AA361" s="385">
        <f>SUM(AA353:AA359)</f>
        <v>8104250</v>
      </c>
      <c r="AB361" s="360"/>
      <c r="AC361" s="384"/>
      <c r="AD361" s="385">
        <f>SUM(AD353:AD360)</f>
        <v>5946967</v>
      </c>
      <c r="AE361" s="360"/>
      <c r="AF361" s="384"/>
      <c r="AG361" s="385">
        <f>SUM(AG353:AG360)</f>
        <v>5813732.6600000001</v>
      </c>
      <c r="AH361" s="360"/>
      <c r="AI361" s="384"/>
      <c r="AJ361" s="385">
        <f>SUM(AJ353:AJ360)</f>
        <v>7030052</v>
      </c>
      <c r="AK361" s="360"/>
      <c r="AL361" s="384"/>
      <c r="AM361" s="385">
        <f>SUM(AM353:AM360)</f>
        <v>5433010</v>
      </c>
      <c r="AN361" s="360"/>
      <c r="AO361" s="384"/>
      <c r="AP361" s="385">
        <f>SUM(AP353:AP360)</f>
        <v>4942787</v>
      </c>
      <c r="AQ361" s="360"/>
      <c r="AR361" s="384"/>
      <c r="AS361" s="425">
        <f>SUM(AS353:AS360)</f>
        <v>5943695</v>
      </c>
      <c r="AT361" s="360"/>
      <c r="AU361" s="384"/>
      <c r="AV361" s="425">
        <f>SUM(AV353:AV360)</f>
        <v>5783010</v>
      </c>
      <c r="AW361" s="435">
        <f>SUM(AW353:AW360)</f>
        <v>5784321</v>
      </c>
      <c r="AX361" s="432" t="s">
        <v>135</v>
      </c>
    </row>
    <row r="362" spans="2:50">
      <c r="D362" s="703" t="s">
        <v>136</v>
      </c>
      <c r="E362" s="703"/>
      <c r="F362" s="703"/>
      <c r="G362" s="704" t="s">
        <v>136</v>
      </c>
      <c r="H362" s="704"/>
      <c r="I362" s="704"/>
      <c r="J362" s="704" t="s">
        <v>136</v>
      </c>
      <c r="K362" s="704"/>
      <c r="L362" s="704"/>
      <c r="M362" s="705" t="s">
        <v>136</v>
      </c>
      <c r="N362" s="705"/>
      <c r="O362" s="705"/>
      <c r="P362" s="705" t="s">
        <v>136</v>
      </c>
      <c r="Q362" s="705"/>
      <c r="R362" s="705"/>
      <c r="S362" s="705" t="s">
        <v>136</v>
      </c>
      <c r="T362" s="705"/>
      <c r="U362" s="705"/>
      <c r="V362" s="705" t="s">
        <v>136</v>
      </c>
      <c r="W362" s="705"/>
      <c r="X362" s="705"/>
      <c r="Y362" s="705" t="s">
        <v>136</v>
      </c>
      <c r="Z362" s="705"/>
      <c r="AA362" s="705"/>
      <c r="AB362" s="705" t="s">
        <v>136</v>
      </c>
      <c r="AC362" s="705"/>
      <c r="AD362" s="705"/>
      <c r="AE362" s="705" t="s">
        <v>136</v>
      </c>
      <c r="AF362" s="705"/>
      <c r="AG362" s="705"/>
      <c r="AH362" s="705" t="s">
        <v>136</v>
      </c>
      <c r="AI362" s="705"/>
      <c r="AJ362" s="705"/>
      <c r="AK362" s="705" t="s">
        <v>136</v>
      </c>
      <c r="AL362" s="705"/>
      <c r="AM362" s="705"/>
      <c r="AN362" s="705" t="s">
        <v>136</v>
      </c>
      <c r="AO362" s="705"/>
      <c r="AP362" s="705"/>
      <c r="AQ362" s="705" t="s">
        <v>136</v>
      </c>
      <c r="AR362" s="705"/>
      <c r="AS362" s="705"/>
      <c r="AT362" s="705" t="s">
        <v>136</v>
      </c>
      <c r="AU362" s="705"/>
      <c r="AV362" s="705"/>
      <c r="AW362" s="706" t="s">
        <v>137</v>
      </c>
      <c r="AX362" s="706"/>
    </row>
    <row r="363" spans="2:50">
      <c r="D363" s="627" t="s">
        <v>138</v>
      </c>
      <c r="E363" s="627"/>
      <c r="F363" s="627"/>
      <c r="G363" s="30"/>
      <c r="I363" s="390">
        <f>I361</f>
        <v>2454630</v>
      </c>
      <c r="J363" s="30"/>
      <c r="L363" s="390">
        <f>L361</f>
        <v>11148530</v>
      </c>
      <c r="M363" s="360"/>
      <c r="N363" s="384"/>
      <c r="O363" s="390">
        <f>O361</f>
        <v>5699918</v>
      </c>
      <c r="P363" s="360"/>
      <c r="Q363" s="384"/>
      <c r="R363" s="390">
        <f>R361</f>
        <v>4754882</v>
      </c>
      <c r="S363" s="360"/>
      <c r="T363" s="384"/>
      <c r="U363" s="390">
        <f>U361</f>
        <v>4696177</v>
      </c>
      <c r="V363" s="360"/>
      <c r="W363" s="384"/>
      <c r="X363" s="390">
        <f>X361</f>
        <v>5750115</v>
      </c>
      <c r="Y363" s="360"/>
      <c r="Z363" s="384"/>
      <c r="AA363" s="390">
        <f>AA361</f>
        <v>8104250</v>
      </c>
      <c r="AB363" s="360"/>
      <c r="AC363" s="384"/>
      <c r="AD363" s="390">
        <f>AD361</f>
        <v>5946967</v>
      </c>
      <c r="AE363" s="360"/>
      <c r="AF363" s="384"/>
      <c r="AG363" s="390">
        <f>AG361</f>
        <v>5813732.6600000001</v>
      </c>
      <c r="AH363" s="360"/>
      <c r="AI363" s="384"/>
      <c r="AJ363" s="390">
        <f>AJ361</f>
        <v>7030052</v>
      </c>
      <c r="AK363" s="360"/>
      <c r="AL363" s="384"/>
      <c r="AM363" s="390">
        <f>AM361</f>
        <v>5433010</v>
      </c>
      <c r="AN363" s="360"/>
      <c r="AO363" s="384"/>
      <c r="AP363" s="390">
        <f>AP361</f>
        <v>4942787</v>
      </c>
      <c r="AQ363" s="360"/>
      <c r="AR363" s="384"/>
      <c r="AS363" s="390">
        <f>AS361</f>
        <v>5943695</v>
      </c>
      <c r="AT363" s="360"/>
      <c r="AU363" s="384"/>
      <c r="AV363" s="390">
        <f>AV361</f>
        <v>5783010</v>
      </c>
      <c r="AW363" s="437">
        <f>AW361</f>
        <v>5784321</v>
      </c>
      <c r="AX363" s="427" t="s">
        <v>139</v>
      </c>
    </row>
    <row r="364" spans="2:50">
      <c r="D364" s="629" t="s">
        <v>140</v>
      </c>
      <c r="E364" s="629"/>
      <c r="F364" s="629"/>
      <c r="G364" s="30"/>
      <c r="I364" s="386">
        <f>SUM(H349)*-1</f>
        <v>0</v>
      </c>
      <c r="J364" s="30"/>
      <c r="L364" s="386">
        <f>SUM(K349)*-1</f>
        <v>0</v>
      </c>
      <c r="M364" s="360"/>
      <c r="N364" s="384"/>
      <c r="O364" s="386">
        <f>SUM(N349)*-1</f>
        <v>0</v>
      </c>
      <c r="P364" s="360"/>
      <c r="Q364" s="384"/>
      <c r="R364" s="386">
        <f>SUM(Q349)*-1</f>
        <v>-127557</v>
      </c>
      <c r="S364" s="360"/>
      <c r="T364" s="384"/>
      <c r="U364" s="386">
        <f>SUM(T349)*-1</f>
        <v>0</v>
      </c>
      <c r="V364" s="360"/>
      <c r="W364" s="384"/>
      <c r="X364" s="386">
        <f>SUM(W349)*-1</f>
        <v>0</v>
      </c>
      <c r="Y364" s="360"/>
      <c r="Z364" s="384"/>
      <c r="AA364" s="386">
        <f>SUM(Z349)*-1</f>
        <v>-52535</v>
      </c>
      <c r="AB364" s="360"/>
      <c r="AC364" s="384"/>
      <c r="AD364" s="386">
        <f>SUM(AC349)*-1</f>
        <v>-56714</v>
      </c>
      <c r="AE364" s="360"/>
      <c r="AF364" s="384"/>
      <c r="AG364" s="386">
        <f>SUM(AF349)*-1</f>
        <v>-500000</v>
      </c>
      <c r="AH364" s="360"/>
      <c r="AI364" s="384"/>
      <c r="AJ364" s="386">
        <f>SUM(AI349)*-1</f>
        <v>0</v>
      </c>
      <c r="AK364" s="360"/>
      <c r="AL364" s="384"/>
      <c r="AM364" s="386">
        <f>SUM(AL349)*-1</f>
        <v>-5397940</v>
      </c>
      <c r="AN364" s="360"/>
      <c r="AO364" s="384"/>
      <c r="AP364" s="386">
        <f>SUM(AO349)*-1</f>
        <v>-4942280</v>
      </c>
      <c r="AQ364" s="360"/>
      <c r="AR364" s="384"/>
      <c r="AS364" s="386">
        <f>SUM(AR349)*-1</f>
        <v>-5143460</v>
      </c>
      <c r="AT364" s="360"/>
      <c r="AU364" s="384"/>
      <c r="AV364" s="386">
        <f>SUM(AU349)*-1</f>
        <v>-5746200</v>
      </c>
      <c r="AW364" s="428">
        <f>AW349*-1</f>
        <v>-3245889</v>
      </c>
      <c r="AX364" s="426" t="s">
        <v>141</v>
      </c>
    </row>
    <row r="365" spans="2:50">
      <c r="D365" s="623" t="s">
        <v>142</v>
      </c>
      <c r="E365" s="623"/>
      <c r="F365" s="623"/>
      <c r="G365" s="61"/>
      <c r="H365" s="62"/>
      <c r="I365" s="385">
        <f>I349*-1</f>
        <v>-327000</v>
      </c>
      <c r="J365" s="61"/>
      <c r="K365" s="62"/>
      <c r="L365" s="385">
        <f>L349*-1</f>
        <v>-4203556</v>
      </c>
      <c r="M365" s="360"/>
      <c r="N365" s="384"/>
      <c r="O365" s="385">
        <f>O349*-1</f>
        <v>-914480</v>
      </c>
      <c r="P365" s="360"/>
      <c r="Q365" s="384"/>
      <c r="R365" s="385">
        <f>R349*-1</f>
        <v>-1893243</v>
      </c>
      <c r="S365" s="360"/>
      <c r="T365" s="384"/>
      <c r="U365" s="385">
        <f>U349*-1</f>
        <v>-4257409</v>
      </c>
      <c r="V365" s="360"/>
      <c r="W365" s="384"/>
      <c r="X365" s="385">
        <f>X349*-1</f>
        <v>-4935369</v>
      </c>
      <c r="Y365" s="360"/>
      <c r="Z365" s="384"/>
      <c r="AA365" s="385">
        <f>AA349*-1</f>
        <v>-6219944</v>
      </c>
      <c r="AB365" s="360"/>
      <c r="AC365" s="384"/>
      <c r="AD365" s="385">
        <f>AD349*-1</f>
        <v>-3752050</v>
      </c>
      <c r="AE365" s="360"/>
      <c r="AF365" s="384"/>
      <c r="AG365" s="385">
        <f>AG349*-1</f>
        <v>-776159</v>
      </c>
      <c r="AH365" s="360"/>
      <c r="AI365" s="384"/>
      <c r="AJ365" s="385">
        <f>AJ349*-1</f>
        <v>-7030052</v>
      </c>
      <c r="AK365" s="360"/>
      <c r="AL365" s="384"/>
      <c r="AM365" s="385">
        <f>AM349*-1</f>
        <v>0</v>
      </c>
      <c r="AN365" s="360"/>
      <c r="AO365" s="384"/>
      <c r="AP365" s="385">
        <f>AP349*-1</f>
        <v>0</v>
      </c>
      <c r="AQ365" s="360"/>
      <c r="AR365" s="384"/>
      <c r="AS365" s="385">
        <f>AS349*-1</f>
        <v>0</v>
      </c>
      <c r="AT365" s="360"/>
      <c r="AU365" s="384"/>
      <c r="AV365" s="385">
        <f>AV349*-1</f>
        <v>0</v>
      </c>
      <c r="AW365" s="429"/>
      <c r="AX365" s="427"/>
    </row>
    <row r="366" spans="2:50">
      <c r="D366" s="726" t="s">
        <v>143</v>
      </c>
      <c r="E366" s="726"/>
      <c r="F366" s="726"/>
      <c r="G366" s="419"/>
      <c r="H366" s="420"/>
      <c r="I366" s="421">
        <f>SUM(I363:I365)</f>
        <v>2127630</v>
      </c>
      <c r="J366" s="419"/>
      <c r="K366" s="420"/>
      <c r="L366" s="421">
        <f>SUM(L363:L365)</f>
        <v>6944974</v>
      </c>
      <c r="M366" s="422"/>
      <c r="N366" s="423"/>
      <c r="O366" s="421">
        <f>SUM(O363:O365)</f>
        <v>4785438</v>
      </c>
      <c r="P366" s="422"/>
      <c r="Q366" s="423"/>
      <c r="R366" s="421">
        <f>SUM(R363:R365)</f>
        <v>2734082</v>
      </c>
      <c r="S366" s="422"/>
      <c r="T366" s="423"/>
      <c r="U366" s="421">
        <f>SUM(U363:U365)</f>
        <v>438768</v>
      </c>
      <c r="V366" s="422"/>
      <c r="W366" s="423"/>
      <c r="X366" s="421">
        <f>SUM(X363:X365)</f>
        <v>814746</v>
      </c>
      <c r="Y366" s="422"/>
      <c r="Z366" s="423"/>
      <c r="AA366" s="424">
        <f>SUM(AA363:AA365)</f>
        <v>1831771</v>
      </c>
      <c r="AB366" s="422"/>
      <c r="AC366" s="423"/>
      <c r="AD366" s="421">
        <f>SUM(AD363:AD365)</f>
        <v>2138203</v>
      </c>
      <c r="AE366" s="422"/>
      <c r="AF366" s="423"/>
      <c r="AG366" s="421">
        <f>SUM(AG363:AG365)</f>
        <v>4537573.66</v>
      </c>
      <c r="AH366" s="422"/>
      <c r="AI366" s="423"/>
      <c r="AJ366" s="421">
        <f>SUM(AJ363:AJ365)</f>
        <v>0</v>
      </c>
      <c r="AK366" s="422"/>
      <c r="AL366" s="423"/>
      <c r="AM366" s="421">
        <f>SUM(AM363:AM365)</f>
        <v>35070</v>
      </c>
      <c r="AN366" s="422"/>
      <c r="AO366" s="423"/>
      <c r="AP366" s="421">
        <f>SUM(AP363:AP365)</f>
        <v>507</v>
      </c>
      <c r="AQ366" s="422"/>
      <c r="AR366" s="423"/>
      <c r="AS366" s="421">
        <f>SUM(AS363:AS365)</f>
        <v>800235</v>
      </c>
      <c r="AT366" s="422"/>
      <c r="AU366" s="423"/>
      <c r="AV366" s="421">
        <f>SUM(AV363:AV365)</f>
        <v>36810</v>
      </c>
      <c r="AW366" s="438">
        <f>SUM(AW363:AW364)</f>
        <v>2538432</v>
      </c>
      <c r="AX366" s="439" t="s">
        <v>144</v>
      </c>
    </row>
    <row r="367" spans="2:50">
      <c r="AI367" s="197"/>
    </row>
    <row r="368" spans="2:50">
      <c r="Z368" s="35"/>
      <c r="AA368" s="35"/>
      <c r="AB368" s="171"/>
      <c r="AC368" s="171"/>
      <c r="AD368" s="35"/>
      <c r="AE368" s="171"/>
      <c r="AG368" s="35"/>
      <c r="AH368" s="35"/>
      <c r="AI368" s="35"/>
      <c r="AJ368" s="35"/>
      <c r="AK368" s="171"/>
      <c r="AM368" s="35"/>
      <c r="AN368" s="171"/>
      <c r="AP368" s="35"/>
      <c r="AQ368" s="171"/>
      <c r="AS368" s="35"/>
      <c r="AT368" s="171"/>
      <c r="AV368" s="35"/>
      <c r="AW368" s="35"/>
    </row>
    <row r="369" spans="3:61" ht="45.75">
      <c r="G369" s="1" t="s">
        <v>145</v>
      </c>
      <c r="H369" s="1" t="s">
        <v>146</v>
      </c>
      <c r="I369" s="1"/>
      <c r="J369" s="1" t="s">
        <v>145</v>
      </c>
      <c r="K369" s="1" t="s">
        <v>146</v>
      </c>
      <c r="L369" s="1"/>
      <c r="M369" s="1" t="s">
        <v>145</v>
      </c>
      <c r="N369" s="1" t="s">
        <v>146</v>
      </c>
      <c r="O369" s="1"/>
      <c r="P369" s="1" t="s">
        <v>145</v>
      </c>
      <c r="Q369" s="1" t="s">
        <v>146</v>
      </c>
      <c r="R369" s="1"/>
      <c r="S369" s="1" t="s">
        <v>145</v>
      </c>
      <c r="T369" s="1" t="s">
        <v>146</v>
      </c>
      <c r="U369" s="1"/>
      <c r="V369" s="1" t="s">
        <v>145</v>
      </c>
      <c r="W369" s="1" t="s">
        <v>146</v>
      </c>
      <c r="X369" s="1"/>
      <c r="Y369" s="1" t="s">
        <v>145</v>
      </c>
      <c r="Z369" s="1" t="s">
        <v>146</v>
      </c>
      <c r="AA369" s="1"/>
      <c r="AB369" s="1" t="s">
        <v>145</v>
      </c>
      <c r="AC369" s="1" t="s">
        <v>146</v>
      </c>
      <c r="AD369" s="1"/>
      <c r="AE369" s="1" t="s">
        <v>145</v>
      </c>
      <c r="AF369" s="1" t="s">
        <v>147</v>
      </c>
      <c r="AG369" s="1"/>
      <c r="AH369" s="1" t="s">
        <v>145</v>
      </c>
      <c r="AI369" s="1" t="s">
        <v>148</v>
      </c>
      <c r="AJ369" s="1"/>
      <c r="AK369" s="1" t="s">
        <v>145</v>
      </c>
      <c r="AL369" s="1" t="s">
        <v>148</v>
      </c>
      <c r="AM369" s="1"/>
      <c r="AN369" s="1" t="s">
        <v>145</v>
      </c>
      <c r="AO369" s="1" t="s">
        <v>148</v>
      </c>
      <c r="AP369" s="1"/>
      <c r="AQ369" s="1" t="s">
        <v>145</v>
      </c>
      <c r="AR369" s="1" t="s">
        <v>148</v>
      </c>
      <c r="AS369" s="1"/>
      <c r="AT369" s="1" t="s">
        <v>145</v>
      </c>
      <c r="AU369" s="1" t="s">
        <v>148</v>
      </c>
      <c r="AV369" s="1"/>
      <c r="AW369" s="35"/>
      <c r="AX369" s="228" t="s">
        <v>149</v>
      </c>
      <c r="AY369" s="145">
        <v>127479</v>
      </c>
      <c r="BB369" s="277" t="s">
        <v>145</v>
      </c>
      <c r="BC369" s="228" t="s">
        <v>150</v>
      </c>
    </row>
    <row r="370" spans="3:61" ht="30.75">
      <c r="G370" s="1" t="s">
        <v>151</v>
      </c>
      <c r="H370" s="197">
        <v>0</v>
      </c>
      <c r="J370" s="1" t="s">
        <v>151</v>
      </c>
      <c r="K370" s="197">
        <v>0</v>
      </c>
      <c r="M370" s="1" t="s">
        <v>151</v>
      </c>
      <c r="N370" s="197">
        <v>413880</v>
      </c>
      <c r="P370" s="1" t="s">
        <v>151</v>
      </c>
      <c r="Q370" s="197">
        <v>0</v>
      </c>
      <c r="S370" s="1" t="s">
        <v>151</v>
      </c>
      <c r="T370" s="197">
        <v>3246863</v>
      </c>
      <c r="V370" s="1" t="s">
        <v>151</v>
      </c>
      <c r="W370" s="197">
        <v>459671</v>
      </c>
      <c r="Y370" s="1" t="s">
        <v>151</v>
      </c>
      <c r="Z370" s="197">
        <v>3895949</v>
      </c>
      <c r="AB370" s="1" t="s">
        <v>151</v>
      </c>
      <c r="AC370" s="197">
        <v>0</v>
      </c>
      <c r="AE370" s="1" t="s">
        <v>151</v>
      </c>
      <c r="AF370" s="197">
        <v>623000</v>
      </c>
      <c r="AH370" s="1" t="s">
        <v>151</v>
      </c>
      <c r="AI370" s="197">
        <v>0</v>
      </c>
      <c r="AK370" s="1" t="s">
        <v>151</v>
      </c>
      <c r="AL370" s="197">
        <v>4236000</v>
      </c>
      <c r="AN370" s="1" t="s">
        <v>151</v>
      </c>
      <c r="AO370" s="197">
        <v>0</v>
      </c>
      <c r="AQ370" s="1" t="s">
        <v>151</v>
      </c>
      <c r="AR370" s="197">
        <v>0</v>
      </c>
      <c r="AT370" s="1" t="s">
        <v>151</v>
      </c>
      <c r="AU370" s="197">
        <v>0</v>
      </c>
      <c r="AW370" s="35"/>
      <c r="AX370" s="228" t="s">
        <v>152</v>
      </c>
      <c r="AY370" s="145">
        <v>81931</v>
      </c>
      <c r="BB370" s="277" t="s">
        <v>151</v>
      </c>
      <c r="BC370" s="145">
        <v>22041</v>
      </c>
    </row>
    <row r="371" spans="3:61" ht="28.9">
      <c r="C371" s="35"/>
      <c r="D371" s="35"/>
      <c r="G371" s="1" t="s">
        <v>57</v>
      </c>
      <c r="H371" s="197">
        <v>0</v>
      </c>
      <c r="J371" s="1" t="s">
        <v>57</v>
      </c>
      <c r="K371" s="197">
        <v>3876556</v>
      </c>
      <c r="M371" s="1" t="s">
        <v>57</v>
      </c>
      <c r="N371" s="197">
        <v>173600</v>
      </c>
      <c r="P371" s="1" t="s">
        <v>57</v>
      </c>
      <c r="Q371" s="197">
        <v>621733</v>
      </c>
      <c r="S371" s="1" t="s">
        <v>57</v>
      </c>
      <c r="T371" s="197">
        <v>112622</v>
      </c>
      <c r="V371" s="1" t="s">
        <v>57</v>
      </c>
      <c r="W371" s="197">
        <v>3956981</v>
      </c>
      <c r="Y371" s="1" t="s">
        <v>57</v>
      </c>
      <c r="Z371" s="197">
        <v>1324784</v>
      </c>
      <c r="AB371" s="1" t="s">
        <v>57</v>
      </c>
      <c r="AC371" s="197">
        <v>640000</v>
      </c>
      <c r="AE371" s="1" t="s">
        <v>57</v>
      </c>
      <c r="AF371" s="197">
        <v>4281109</v>
      </c>
      <c r="AH371" s="1" t="s">
        <v>57</v>
      </c>
      <c r="AI371" s="197">
        <v>252000</v>
      </c>
      <c r="AK371" s="1" t="s">
        <v>57</v>
      </c>
      <c r="AL371" s="197">
        <v>802940</v>
      </c>
      <c r="AN371" s="1" t="s">
        <v>57</v>
      </c>
      <c r="AO371" s="197">
        <v>1033060</v>
      </c>
      <c r="AQ371" s="1" t="s">
        <v>57</v>
      </c>
      <c r="AR371" s="197">
        <v>1932000</v>
      </c>
      <c r="AT371" s="1" t="s">
        <v>57</v>
      </c>
      <c r="AU371" s="197">
        <v>4919200</v>
      </c>
      <c r="AW371" s="35"/>
      <c r="AX371" s="228" t="s">
        <v>153</v>
      </c>
      <c r="AY371" s="145">
        <f>3173+3687+2702+3486+1449</f>
        <v>14497</v>
      </c>
      <c r="BB371" s="248" t="s">
        <v>57</v>
      </c>
      <c r="BC371" s="265">
        <v>37652</v>
      </c>
    </row>
    <row r="372" spans="3:61">
      <c r="C372" s="35"/>
      <c r="D372" s="35"/>
      <c r="G372" s="1" t="s">
        <v>47</v>
      </c>
      <c r="H372" s="197">
        <v>0</v>
      </c>
      <c r="J372" s="1" t="s">
        <v>47</v>
      </c>
      <c r="K372" s="197">
        <v>0</v>
      </c>
      <c r="M372" s="1" t="s">
        <v>47</v>
      </c>
      <c r="N372" s="197">
        <v>0</v>
      </c>
      <c r="P372" s="1" t="s">
        <v>47</v>
      </c>
      <c r="Q372" s="197">
        <v>283500</v>
      </c>
      <c r="S372" s="1" t="s">
        <v>47</v>
      </c>
      <c r="T372" s="197">
        <v>0</v>
      </c>
      <c r="V372" s="1" t="s">
        <v>47</v>
      </c>
      <c r="W372" s="197">
        <v>71720</v>
      </c>
      <c r="Y372" s="1" t="s">
        <v>47</v>
      </c>
      <c r="Z372" s="197">
        <v>0</v>
      </c>
      <c r="AB372" s="1" t="s">
        <v>47</v>
      </c>
      <c r="AC372" s="197">
        <v>2281764</v>
      </c>
      <c r="AE372" s="1" t="s">
        <v>47</v>
      </c>
      <c r="AF372" s="197">
        <v>0</v>
      </c>
      <c r="AH372" s="1" t="s">
        <v>47</v>
      </c>
      <c r="AI372" s="197">
        <v>0</v>
      </c>
      <c r="AK372" s="1" t="s">
        <v>47</v>
      </c>
      <c r="AL372" s="197">
        <v>0</v>
      </c>
      <c r="AN372" s="1" t="s">
        <v>47</v>
      </c>
      <c r="AO372" s="197">
        <v>500000</v>
      </c>
      <c r="AQ372" s="1" t="s">
        <v>47</v>
      </c>
      <c r="AR372" s="197">
        <v>1020661</v>
      </c>
      <c r="AT372" s="1" t="s">
        <v>47</v>
      </c>
      <c r="AU372" s="197">
        <v>500000</v>
      </c>
      <c r="AW372" s="35"/>
      <c r="AX372" s="145" t="s">
        <v>154</v>
      </c>
      <c r="AY372" s="145">
        <f>SUM(AY369:AY370)</f>
        <v>209410</v>
      </c>
      <c r="BB372" s="145" t="s">
        <v>47</v>
      </c>
      <c r="BC372" s="145">
        <v>127479</v>
      </c>
    </row>
    <row r="373" spans="3:61">
      <c r="G373" s="1" t="s">
        <v>155</v>
      </c>
      <c r="H373" s="197">
        <v>0</v>
      </c>
      <c r="J373" s="1" t="s">
        <v>155</v>
      </c>
      <c r="K373" s="197">
        <v>0</v>
      </c>
      <c r="M373" s="1" t="s">
        <v>155</v>
      </c>
      <c r="N373" s="197">
        <v>0</v>
      </c>
      <c r="P373" s="1" t="s">
        <v>155</v>
      </c>
      <c r="Q373" s="197">
        <v>788567</v>
      </c>
      <c r="S373" s="1" t="s">
        <v>155</v>
      </c>
      <c r="T373" s="197">
        <v>390308</v>
      </c>
      <c r="V373" s="1" t="s">
        <v>155</v>
      </c>
      <c r="W373" s="197">
        <v>0</v>
      </c>
      <c r="Y373" s="1" t="s">
        <v>155</v>
      </c>
      <c r="Z373" s="197">
        <v>400000</v>
      </c>
      <c r="AB373" s="1" t="s">
        <v>155</v>
      </c>
      <c r="AC373" s="197">
        <v>2295942</v>
      </c>
      <c r="AE373" s="1" t="s">
        <v>155</v>
      </c>
      <c r="AF373" s="197">
        <v>0</v>
      </c>
      <c r="AH373" s="1" t="s">
        <v>155</v>
      </c>
      <c r="AI373" s="197">
        <v>4575243</v>
      </c>
      <c r="AK373" s="1" t="s">
        <v>155</v>
      </c>
      <c r="AL373" s="197">
        <v>32000</v>
      </c>
      <c r="AN373" s="1" t="s">
        <v>155</v>
      </c>
      <c r="AO373" s="197">
        <v>3082220</v>
      </c>
      <c r="AQ373" s="1" t="s">
        <v>155</v>
      </c>
      <c r="AR373" s="197">
        <v>2384460</v>
      </c>
      <c r="AT373" s="1" t="s">
        <v>155</v>
      </c>
      <c r="AU373" s="197">
        <v>0</v>
      </c>
      <c r="AW373" s="35"/>
      <c r="BB373" s="145" t="s">
        <v>155</v>
      </c>
      <c r="BC373" s="145">
        <v>81931</v>
      </c>
    </row>
    <row r="374" spans="3:61">
      <c r="G374" s="1" t="s">
        <v>156</v>
      </c>
      <c r="H374" s="197"/>
      <c r="J374" s="1" t="s">
        <v>156</v>
      </c>
      <c r="K374" s="197"/>
      <c r="M374" s="1" t="s">
        <v>156</v>
      </c>
      <c r="N374" s="197"/>
      <c r="P374" s="1" t="s">
        <v>156</v>
      </c>
      <c r="Q374" s="197"/>
      <c r="S374" s="1" t="s">
        <v>156</v>
      </c>
      <c r="T374" s="197"/>
      <c r="V374" s="1" t="s">
        <v>156</v>
      </c>
      <c r="W374" s="197"/>
      <c r="Y374" s="1" t="s">
        <v>156</v>
      </c>
      <c r="Z374" s="197"/>
      <c r="AB374" s="1" t="s">
        <v>156</v>
      </c>
      <c r="AC374" s="197"/>
      <c r="AE374" s="1" t="s">
        <v>156</v>
      </c>
      <c r="AF374" s="197"/>
      <c r="AH374" s="1" t="s">
        <v>156</v>
      </c>
      <c r="AI374" s="197"/>
      <c r="AK374" s="1" t="s">
        <v>156</v>
      </c>
      <c r="AL374" s="197"/>
      <c r="AN374" s="1" t="s">
        <v>156</v>
      </c>
      <c r="AO374" s="197"/>
      <c r="AQ374" s="1" t="s">
        <v>156</v>
      </c>
      <c r="AR374" s="197"/>
      <c r="AT374" s="1" t="s">
        <v>156</v>
      </c>
      <c r="AU374" s="197"/>
      <c r="BB374" s="239" t="s">
        <v>156</v>
      </c>
      <c r="BC374" s="271">
        <v>52912</v>
      </c>
    </row>
    <row r="375" spans="3:61">
      <c r="G375" s="1" t="s">
        <v>88</v>
      </c>
      <c r="H375" s="197">
        <v>0</v>
      </c>
      <c r="J375" s="1" t="s">
        <v>88</v>
      </c>
      <c r="K375" s="197">
        <v>0</v>
      </c>
      <c r="M375" s="1" t="s">
        <v>88</v>
      </c>
      <c r="N375" s="197">
        <v>0</v>
      </c>
      <c r="P375" s="1" t="s">
        <v>88</v>
      </c>
      <c r="Q375" s="197">
        <v>0</v>
      </c>
      <c r="S375" s="1" t="s">
        <v>88</v>
      </c>
      <c r="T375" s="197">
        <v>180616</v>
      </c>
      <c r="V375" s="1" t="s">
        <v>88</v>
      </c>
      <c r="W375" s="197">
        <v>119997</v>
      </c>
      <c r="Y375" s="1" t="s">
        <v>88</v>
      </c>
      <c r="Z375" s="197">
        <v>324746</v>
      </c>
      <c r="AB375" s="1" t="s">
        <v>88</v>
      </c>
      <c r="AC375" s="197">
        <v>0</v>
      </c>
      <c r="AE375" s="1" t="s">
        <v>88</v>
      </c>
      <c r="AF375" s="197">
        <v>0</v>
      </c>
      <c r="AH375" s="1" t="s">
        <v>88</v>
      </c>
      <c r="AI375" s="197">
        <v>0</v>
      </c>
      <c r="AK375" s="1" t="s">
        <v>88</v>
      </c>
      <c r="AL375" s="197">
        <v>0</v>
      </c>
      <c r="AN375" s="1" t="s">
        <v>88</v>
      </c>
      <c r="AO375" s="197">
        <v>0</v>
      </c>
      <c r="AQ375" s="1" t="s">
        <v>88</v>
      </c>
      <c r="AR375" s="197">
        <v>0</v>
      </c>
      <c r="AT375" s="1" t="s">
        <v>88</v>
      </c>
      <c r="AU375" s="197">
        <v>0</v>
      </c>
    </row>
    <row r="376" spans="3:61">
      <c r="G376" s="1" t="s">
        <v>80</v>
      </c>
      <c r="H376" s="197">
        <v>127000</v>
      </c>
      <c r="J376" s="1" t="s">
        <v>80</v>
      </c>
      <c r="K376" s="197">
        <v>127000</v>
      </c>
      <c r="M376" s="1" t="s">
        <v>80</v>
      </c>
      <c r="N376" s="197">
        <v>127000</v>
      </c>
      <c r="P376" s="1" t="s">
        <v>80</v>
      </c>
      <c r="Q376" s="197">
        <v>127000</v>
      </c>
      <c r="S376" s="1" t="s">
        <v>80</v>
      </c>
      <c r="T376" s="197">
        <v>127000</v>
      </c>
      <c r="V376" s="1" t="s">
        <v>80</v>
      </c>
      <c r="W376" s="197">
        <v>127000</v>
      </c>
      <c r="Y376" s="1" t="s">
        <v>80</v>
      </c>
      <c r="Z376" s="197">
        <v>127000</v>
      </c>
      <c r="AB376" s="1" t="s">
        <v>80</v>
      </c>
      <c r="AC376" s="197">
        <v>127000</v>
      </c>
      <c r="AE376" s="1" t="s">
        <v>80</v>
      </c>
      <c r="AF376" s="197">
        <v>127000</v>
      </c>
      <c r="AH376" s="1" t="s">
        <v>80</v>
      </c>
      <c r="AI376" s="197">
        <v>127000</v>
      </c>
      <c r="AK376" s="1" t="s">
        <v>80</v>
      </c>
      <c r="AL376" s="197">
        <v>127000</v>
      </c>
      <c r="AN376" s="1" t="s">
        <v>80</v>
      </c>
      <c r="AO376" s="197">
        <v>127000</v>
      </c>
      <c r="AQ376" s="1" t="s">
        <v>80</v>
      </c>
      <c r="AR376" s="197">
        <v>127000</v>
      </c>
      <c r="AT376" s="1" t="s">
        <v>80</v>
      </c>
      <c r="AU376" s="197">
        <v>127000</v>
      </c>
    </row>
    <row r="377" spans="3:61">
      <c r="G377" s="1" t="s">
        <v>30</v>
      </c>
      <c r="H377" s="197">
        <v>200000</v>
      </c>
      <c r="J377" s="1" t="s">
        <v>30</v>
      </c>
      <c r="K377" s="197">
        <v>200000</v>
      </c>
      <c r="M377" s="1" t="s">
        <v>30</v>
      </c>
      <c r="N377" s="197">
        <v>200000</v>
      </c>
      <c r="P377" s="1" t="s">
        <v>30</v>
      </c>
      <c r="Q377" s="197">
        <v>200000</v>
      </c>
      <c r="S377" s="1" t="s">
        <v>30</v>
      </c>
      <c r="T377" s="197">
        <v>200000</v>
      </c>
      <c r="V377" s="1" t="s">
        <v>30</v>
      </c>
      <c r="W377" s="197">
        <v>200000</v>
      </c>
      <c r="Y377" s="1" t="s">
        <v>30</v>
      </c>
      <c r="Z377" s="197">
        <v>200000</v>
      </c>
      <c r="AB377" s="1" t="s">
        <v>30</v>
      </c>
      <c r="AC377" s="197">
        <v>200000</v>
      </c>
      <c r="AE377" s="1" t="s">
        <v>30</v>
      </c>
      <c r="AF377" s="197">
        <v>200000</v>
      </c>
      <c r="AH377" s="1" t="s">
        <v>30</v>
      </c>
      <c r="AI377" s="197">
        <v>200000</v>
      </c>
      <c r="AK377" s="1" t="s">
        <v>30</v>
      </c>
      <c r="AL377" s="197">
        <v>200000</v>
      </c>
      <c r="AN377" s="1" t="s">
        <v>30</v>
      </c>
      <c r="AO377" s="197">
        <v>200000</v>
      </c>
      <c r="AQ377" s="1" t="s">
        <v>30</v>
      </c>
      <c r="AR377" s="197">
        <v>200000</v>
      </c>
      <c r="AT377" s="1" t="s">
        <v>30</v>
      </c>
      <c r="AU377" s="197">
        <v>200000</v>
      </c>
    </row>
    <row r="378" spans="3:61">
      <c r="G378" s="1"/>
      <c r="H378" s="197"/>
      <c r="J378" s="1"/>
      <c r="K378" s="197"/>
      <c r="M378" s="1"/>
      <c r="N378" s="197"/>
      <c r="P378" s="1"/>
      <c r="Q378" s="197"/>
      <c r="S378" s="1"/>
      <c r="T378" s="197"/>
      <c r="V378" s="1"/>
      <c r="W378" s="197"/>
      <c r="Y378" s="1"/>
      <c r="Z378" s="197"/>
      <c r="AB378" s="1"/>
      <c r="AC378" s="197"/>
      <c r="AE378" s="1"/>
      <c r="AF378" s="197"/>
      <c r="AH378" s="1"/>
      <c r="AI378" s="197"/>
      <c r="AK378" s="1"/>
      <c r="AL378" s="197"/>
      <c r="AN378" s="1"/>
      <c r="AO378" s="197"/>
      <c r="AQ378" s="1"/>
      <c r="AR378" s="197"/>
      <c r="AT378" s="1"/>
      <c r="AU378" s="197"/>
    </row>
    <row r="380" spans="3:61" ht="45.75">
      <c r="G380" s="226" t="s">
        <v>145</v>
      </c>
      <c r="H380" s="226" t="s">
        <v>140</v>
      </c>
      <c r="I380" s="227" t="s">
        <v>142</v>
      </c>
      <c r="J380" s="226" t="s">
        <v>145</v>
      </c>
      <c r="K380" s="226" t="s">
        <v>140</v>
      </c>
      <c r="L380" s="227" t="s">
        <v>142</v>
      </c>
      <c r="M380" s="226" t="s">
        <v>145</v>
      </c>
      <c r="N380" s="226" t="s">
        <v>140</v>
      </c>
      <c r="O380" s="227" t="s">
        <v>142</v>
      </c>
      <c r="P380" s="226" t="s">
        <v>145</v>
      </c>
      <c r="Q380" s="226" t="s">
        <v>140</v>
      </c>
      <c r="R380" s="227" t="s">
        <v>142</v>
      </c>
      <c r="S380" s="226" t="s">
        <v>145</v>
      </c>
      <c r="T380" s="226" t="s">
        <v>140</v>
      </c>
      <c r="U380" s="227" t="s">
        <v>142</v>
      </c>
      <c r="V380" s="226" t="s">
        <v>145</v>
      </c>
      <c r="W380" s="226" t="s">
        <v>140</v>
      </c>
      <c r="X380" s="227" t="s">
        <v>142</v>
      </c>
      <c r="Y380" s="226" t="s">
        <v>145</v>
      </c>
      <c r="Z380" s="226" t="s">
        <v>140</v>
      </c>
      <c r="AA380" s="227" t="s">
        <v>142</v>
      </c>
      <c r="AB380" s="226" t="s">
        <v>145</v>
      </c>
      <c r="AC380" s="226" t="s">
        <v>140</v>
      </c>
      <c r="AD380" s="227" t="s">
        <v>142</v>
      </c>
      <c r="AE380" s="226" t="s">
        <v>145</v>
      </c>
      <c r="AF380" s="226" t="s">
        <v>157</v>
      </c>
      <c r="AG380" s="227" t="s">
        <v>158</v>
      </c>
      <c r="AH380" s="226" t="s">
        <v>145</v>
      </c>
      <c r="AI380" s="226" t="s">
        <v>157</v>
      </c>
      <c r="AJ380" s="227" t="s">
        <v>158</v>
      </c>
      <c r="AK380" s="226" t="s">
        <v>145</v>
      </c>
      <c r="AL380" s="226" t="s">
        <v>157</v>
      </c>
      <c r="AM380" s="227" t="s">
        <v>158</v>
      </c>
      <c r="AN380" s="226" t="s">
        <v>145</v>
      </c>
      <c r="AO380" s="226" t="s">
        <v>157</v>
      </c>
      <c r="AP380" s="227" t="s">
        <v>158</v>
      </c>
      <c r="AQ380" s="226" t="s">
        <v>145</v>
      </c>
      <c r="AR380" s="226" t="s">
        <v>157</v>
      </c>
      <c r="AS380" s="227" t="s">
        <v>158</v>
      </c>
      <c r="AT380" s="226" t="s">
        <v>145</v>
      </c>
      <c r="AU380" s="226" t="s">
        <v>157</v>
      </c>
      <c r="AV380" s="227" t="s">
        <v>158</v>
      </c>
      <c r="AX380" s="145" t="s">
        <v>145</v>
      </c>
      <c r="AY380" s="228" t="s">
        <v>159</v>
      </c>
      <c r="AZ380" s="228" t="s">
        <v>160</v>
      </c>
      <c r="BB380" s="145" t="s">
        <v>145</v>
      </c>
      <c r="BC380" s="228" t="s">
        <v>161</v>
      </c>
      <c r="BD380" s="228" t="s">
        <v>162</v>
      </c>
      <c r="BE380" s="275" t="s">
        <v>163</v>
      </c>
      <c r="BG380" s="145" t="s">
        <v>164</v>
      </c>
      <c r="BH380" s="228" t="s">
        <v>161</v>
      </c>
      <c r="BI380" s="275" t="s">
        <v>162</v>
      </c>
    </row>
    <row r="381" spans="3:61" ht="15">
      <c r="G381" s="228" t="s">
        <v>151</v>
      </c>
      <c r="H381" s="144">
        <f>SUM(G78:G87,G127:G136,G139:G148,G163:G173,G305:G315)</f>
        <v>0</v>
      </c>
      <c r="I381" s="144">
        <f>SUM(I78:I87,I127:I136,I139:I148,I163:I173,I305:I315)</f>
        <v>0</v>
      </c>
      <c r="J381" s="228" t="s">
        <v>151</v>
      </c>
      <c r="K381" s="144">
        <f>SUM(J78:J87,J127:J136,J139:J148,J163:J173,J305:J315)</f>
        <v>0</v>
      </c>
      <c r="L381" s="144">
        <f>SUM(L78:L87,L127:L136,L139:L148,L163:L173,L305:L315)</f>
        <v>0</v>
      </c>
      <c r="M381" s="228" t="s">
        <v>151</v>
      </c>
      <c r="N381" s="144">
        <f>SUM(M78:M87,M127:M136,M139:M148,M163:M173,M305:M315)</f>
        <v>413880</v>
      </c>
      <c r="O381" s="144">
        <f>SUM(O78:O87,O127:O136,O139:O148,O163:O173,O305:O315)</f>
        <v>413880</v>
      </c>
      <c r="P381" s="228" t="s">
        <v>151</v>
      </c>
      <c r="Q381" s="144">
        <f>SUM(P78:P87,P127:P136,P139:P148,P163:P173,P305:P315)</f>
        <v>0</v>
      </c>
      <c r="R381" s="144">
        <f>SUM(R78:R87,R127:R136,R139:R148,R163:R173,R305:R315)</f>
        <v>0</v>
      </c>
      <c r="S381" s="228" t="s">
        <v>151</v>
      </c>
      <c r="T381" s="144">
        <f>SUM(S78:S87,S127:S136,S139:S148,S163:S173,S305:S315)</f>
        <v>3246863</v>
      </c>
      <c r="U381" s="144">
        <f>SUM(U78:U87,U127:U136,U139:U148,U163:U173,U305:U315)</f>
        <v>3246863</v>
      </c>
      <c r="V381" s="228" t="s">
        <v>151</v>
      </c>
      <c r="W381" s="144">
        <f>SUM(V78:V87,V127:V136,V139:V148,V163:V173,V305:V315)</f>
        <v>459671</v>
      </c>
      <c r="X381" s="144">
        <f>SUM(X78:X87,X127:X136,X139:X148,X163:X173,X305:X315)</f>
        <v>459671</v>
      </c>
      <c r="Y381" s="228" t="s">
        <v>151</v>
      </c>
      <c r="Z381" s="144">
        <f>SUM(Y78:Y87,Y127:Y136,Y139:Y148,Y163:Y173,Y305:Y315)</f>
        <v>3895949</v>
      </c>
      <c r="AA381" s="144">
        <f>SUM(AA78:AA87,AA127:AA136,AA139:AA148,AA163:AA173,AA305:AA315)</f>
        <v>3895949</v>
      </c>
      <c r="AB381" s="228" t="s">
        <v>151</v>
      </c>
      <c r="AC381" s="144">
        <f>SUM(AB78:AB87,AB127:AB136,AB139:AB148,AB163:AB173,AB305:AB315)</f>
        <v>0</v>
      </c>
      <c r="AD381" s="144">
        <f>SUM(AD78:AD87,AD127:AD136,AD139:AD148,AD163:AD173,AD305:AD315)</f>
        <v>0</v>
      </c>
      <c r="AE381" s="228" t="s">
        <v>151</v>
      </c>
      <c r="AF381" s="144">
        <f>SUM(AE78:AE87,AE127:AE136,AE139:AE148,AE163:AE173,AE305:AE315)</f>
        <v>584222</v>
      </c>
      <c r="AG381" s="233">
        <f>SUM(AG78:AG87,AG127:AG136,AG139:AG148,AG163:AG173,AG305:AG315)</f>
        <v>84222</v>
      </c>
      <c r="AH381" s="228" t="s">
        <v>151</v>
      </c>
      <c r="AI381" s="144">
        <f>SUM(AH78:AH87,AH127:AH136,AH139:AH148,AH163:AH173,AH305:AH315)</f>
        <v>0</v>
      </c>
      <c r="AJ381" s="232">
        <f>SUM(AJ78:AJ87,AJ127:AJ136,AJ139:AJ148,AJ163:AJ173,AJ305:AJ315)</f>
        <v>0</v>
      </c>
      <c r="AK381" s="228" t="s">
        <v>151</v>
      </c>
      <c r="AL381" s="144">
        <f>SUM(AK78:AK87,AK127:AK136,AK139:AK148,AK163:AK173,AK305:AK315)</f>
        <v>4236000</v>
      </c>
      <c r="AM381" s="232">
        <f>SUM(AM78:AM87,AM127:AM136,AM139:AM148,AM163:AM173,AM305:AM315)</f>
        <v>0</v>
      </c>
      <c r="AN381" s="228" t="s">
        <v>151</v>
      </c>
      <c r="AO381" s="144">
        <f>SUM(AN78:AN87,AN127:AN136,AN139:AN148,AN163:AN173,AN305:AN315)</f>
        <v>0</v>
      </c>
      <c r="AP381" s="232">
        <f>SUM(AP78:AP87,AP127:AP136,AP139:AP148,AP163:AP173,AP305:AP315)</f>
        <v>0</v>
      </c>
      <c r="AQ381" s="228" t="s">
        <v>151</v>
      </c>
      <c r="AR381" s="144">
        <f>SUM(AQ78:AQ87,AQ127:AQ136,AQ139:AQ148,AQ163:AQ173,AQ305:AQ315)</f>
        <v>0</v>
      </c>
      <c r="AS381" s="232">
        <f>SUM(AS78:AS87,AS127:AS136,AS139:AS148,AS163:AS173,AS305:AS315)</f>
        <v>0</v>
      </c>
      <c r="AT381" s="228" t="s">
        <v>151</v>
      </c>
      <c r="AU381" s="144">
        <f>SUM(AT78:AT87,AT127:AT136,AT139:AT148,AT163:AT173,AT305:AT315)</f>
        <v>0</v>
      </c>
      <c r="AV381" s="232">
        <f>SUM(AV78:AV87,AV127:AV136,AV139:AV148,AV163:AV173,AV305:AV315)</f>
        <v>0</v>
      </c>
      <c r="AX381" s="145" t="s">
        <v>151</v>
      </c>
      <c r="AY381" s="144">
        <f>SUM(H381,K381,N381,Q381,T381,W381,Z381,AC381,AF381,AI381,AL381,AO381,AR381,AU381)</f>
        <v>12836585</v>
      </c>
      <c r="AZ381" s="231">
        <f>AY381/$AY$389</f>
        <v>0.22751855425318718</v>
      </c>
      <c r="BB381" s="145" t="s">
        <v>151</v>
      </c>
      <c r="BC381" s="144">
        <f>SUM(T381,W381,Z381,AC381,AF381,AI381,AL381,AO381,AR381,AU381)</f>
        <v>12422705</v>
      </c>
      <c r="BD381" s="272">
        <f>BC381/$BC$389</f>
        <v>0.2537622375828204</v>
      </c>
      <c r="BE381" s="144">
        <f>BC381/BC370</f>
        <v>563.61803003493492</v>
      </c>
      <c r="BG381" s="145" t="s">
        <v>165</v>
      </c>
      <c r="BH381" s="174">
        <f>BC381+BC383+BC385</f>
        <v>16562922</v>
      </c>
      <c r="BI381" s="261">
        <f>BH381/BH386</f>
        <v>0.33833566422367134</v>
      </c>
    </row>
    <row r="382" spans="3:61">
      <c r="G382" s="228" t="s">
        <v>57</v>
      </c>
      <c r="H382" s="144">
        <f>SUM(G67:G75,G102:G112,G115:G124,G151:G160,G201:G211)</f>
        <v>0</v>
      </c>
      <c r="I382" s="144">
        <f>SUM(I67:I75,I102:I112,I115:I124,I151:I160,I201:I211)</f>
        <v>0</v>
      </c>
      <c r="J382" s="228" t="s">
        <v>57</v>
      </c>
      <c r="K382" s="144">
        <f>SUM(J67:J75,J102:J112,J115:J124,J151:J160,J201:J211)</f>
        <v>3876556</v>
      </c>
      <c r="L382" s="144">
        <f>SUM(L67:L75,L102:L112,L115:L124,L151:L160,L201:L211)</f>
        <v>3876556</v>
      </c>
      <c r="M382" s="228" t="s">
        <v>57</v>
      </c>
      <c r="N382" s="144">
        <f>SUM(M67:M75,M102:M112,M115:M124,M151:M160,M201:M211)</f>
        <v>173600</v>
      </c>
      <c r="O382" s="144">
        <f>SUM(O67:O75,O102:O112,O115:O124,O151:O160,O201:O211)</f>
        <v>173600</v>
      </c>
      <c r="P382" s="228" t="s">
        <v>57</v>
      </c>
      <c r="Q382" s="144">
        <f>SUM(P67:P75,P102:P112,P115:P124,P151:P160,P201:P211)</f>
        <v>621733</v>
      </c>
      <c r="R382" s="144">
        <f>SUM(R67:R75,R102:R112,R115:R124,R151:R160,R201:R211)</f>
        <v>571006</v>
      </c>
      <c r="S382" s="228" t="s">
        <v>57</v>
      </c>
      <c r="T382" s="144">
        <f>SUM(S67:S75,S102:S112,S115:S124,S151:S160,S201:S211)</f>
        <v>112622</v>
      </c>
      <c r="U382" s="144">
        <f>SUM(U67:U75,U102:U112,U115:U124,U151:U160,U201:U211)</f>
        <v>112622</v>
      </c>
      <c r="V382" s="228" t="s">
        <v>57</v>
      </c>
      <c r="W382" s="144">
        <f>SUM(V67:V75,V102:V112,V115:V124,V151:V160,V201:V211)</f>
        <v>3956981</v>
      </c>
      <c r="X382" s="144">
        <f>SUM(X67:X75,X102:X112,X115:X124,X151:X160,X201:X211)</f>
        <v>3956981</v>
      </c>
      <c r="Y382" s="228" t="s">
        <v>57</v>
      </c>
      <c r="Z382" s="144">
        <f>SUM(Y67:Y75,Y102:Y112,Y115:Y124,Y151:Y160,Y201:Y211)</f>
        <v>1324784</v>
      </c>
      <c r="AA382" s="144">
        <f>SUM(AA67:AA75,AA102:AA112,AA115:AA124,AA151:AA160,AA201:AA211)</f>
        <v>1324784</v>
      </c>
      <c r="AB382" s="228" t="s">
        <v>57</v>
      </c>
      <c r="AC382" s="144">
        <f>SUM(AB67:AB75,AB102:AB112,AB115:AB124,AB151:AB160,AB201:AB211)</f>
        <v>0</v>
      </c>
      <c r="AD382" s="144">
        <f>SUM(AD67:AD75,AD102:AD112,AD115:AD124,AD151:AD160,AD201:AD211)</f>
        <v>0</v>
      </c>
      <c r="AE382" s="228" t="s">
        <v>57</v>
      </c>
      <c r="AF382" s="144">
        <f>SUM(AE67:AE75,AE102:AE112,AE115:AE124,AE151:AE160,AE201:AE211)</f>
        <v>0</v>
      </c>
      <c r="AG382" s="233">
        <f>SUM(AG67:AG75,AG102:AG112,AG115:AG124,AG151:AG160,AG201:AG211)</f>
        <v>0</v>
      </c>
      <c r="AH382" s="228" t="s">
        <v>57</v>
      </c>
      <c r="AI382" s="144">
        <f>SUM(AH67:AH75,AH102:AH112,AH115:AH124,AH151:AH160,AH201:AH211,AH292:AH302)</f>
        <v>252000</v>
      </c>
      <c r="AJ382" s="232">
        <f>SUM(AJ67:AJ75,AJ102:AJ112,AJ115:AJ124,AJ151:AJ160,AJ201:AJ211,AJ292:AJ302)</f>
        <v>252000</v>
      </c>
      <c r="AK382" s="228" t="s">
        <v>57</v>
      </c>
      <c r="AL382" s="144">
        <f>SUM(AK67:AK75,AK102:AK112,AK115:AK124,AK151:AK160,AK201:AK211,AK292:AK302)</f>
        <v>802940</v>
      </c>
      <c r="AM382" s="232">
        <f>SUM(AM67:AM75,AM102:AM112,AM115:AM124,AM151:AM160,AM201:AM211,AM292:AM302)</f>
        <v>0</v>
      </c>
      <c r="AN382" s="228" t="s">
        <v>57</v>
      </c>
      <c r="AO382" s="144">
        <f>SUM(AN67:AN75,AN102:AN112,AN115:AN124,AN151:AN160,AN201:AN211,AN292:AN302)</f>
        <v>1033060</v>
      </c>
      <c r="AP382" s="232">
        <f>SUM(AP67:AP75,AP102:AP112,AP115:AP124,AP151:AP160,AP201:AP211,AP292:AP302)</f>
        <v>0</v>
      </c>
      <c r="AQ382" s="228" t="s">
        <v>57</v>
      </c>
      <c r="AR382" s="144">
        <f>SUM(AQ67:AQ75,AQ102:AQ112,AQ115:AQ124,AQ151:AQ160,AQ201:AQ211,AQ292:AQ302)</f>
        <v>1932000</v>
      </c>
      <c r="AS382" s="232">
        <f>SUM(AS67:AS75,AS102:AS112,AS115:AS124,AS151:AS160,AS201:AS211,AS292:AS302)</f>
        <v>0</v>
      </c>
      <c r="AT382" s="228" t="s">
        <v>57</v>
      </c>
      <c r="AU382" s="144">
        <f>SUM(AT67:AT75,AT102:AT112,AT115:AT124,AT151:AT160,AT201:AT211,AT292:AT302)</f>
        <v>4919200</v>
      </c>
      <c r="AV382" s="232">
        <f>SUM(AV67:AV75,AV102:AV112,AV115:AV124,AV151:AV160,AV201:AV211,AV292:AV302)</f>
        <v>0</v>
      </c>
      <c r="AX382" s="145" t="s">
        <v>57</v>
      </c>
      <c r="AY382" s="144">
        <f t="shared" ref="AY382:AY388" si="608">SUM(H382,K382,N382,Q382,T382,W382,Z382,AC382,AF382,AI382,AL382,AO382,AR382,AU382)</f>
        <v>19005476</v>
      </c>
      <c r="AZ382" s="231">
        <f>AY382/$AY$389</f>
        <v>0.33685738242793134</v>
      </c>
      <c r="BB382" s="145" t="s">
        <v>57</v>
      </c>
      <c r="BC382" s="144">
        <f t="shared" ref="BC382:BC388" si="609">SUM(T382,W382,Z382,AC382,AF382,AI382,AL382,AO382,AR382,AU382)</f>
        <v>14333587</v>
      </c>
      <c r="BD382" s="272">
        <f t="shared" ref="BD382:BD388" si="610">BC382/$BC$389</f>
        <v>0.29279638449983525</v>
      </c>
      <c r="BE382" s="144">
        <f>BC382/BC371</f>
        <v>380.6859396579199</v>
      </c>
      <c r="BG382" s="265" t="s">
        <v>166</v>
      </c>
      <c r="BH382" s="253">
        <f>BC382+BC384</f>
        <v>28395831</v>
      </c>
      <c r="BI382" s="261">
        <f>BH382/BH386</f>
        <v>0.58004996597630043</v>
      </c>
    </row>
    <row r="383" spans="3:61">
      <c r="G383" s="228" t="s">
        <v>47</v>
      </c>
      <c r="H383" s="144">
        <f>SUM(G43:G51,G318:G328,G331:G341)</f>
        <v>0</v>
      </c>
      <c r="I383" s="144">
        <f>SUM(I43:I51,I318:I328,I331:I341)</f>
        <v>0</v>
      </c>
      <c r="J383" s="228" t="s">
        <v>47</v>
      </c>
      <c r="K383" s="144">
        <f>SUM(J43:J51,J318:J328,J331:J341)</f>
        <v>0</v>
      </c>
      <c r="L383" s="144">
        <f>SUM(L43:L51,L318:L328,L331:L341)</f>
        <v>0</v>
      </c>
      <c r="M383" s="228" t="s">
        <v>47</v>
      </c>
      <c r="N383" s="144">
        <f>SUM(M43:M51,M318:M328,M331:M341)</f>
        <v>0</v>
      </c>
      <c r="O383" s="144">
        <f>SUM(O43:O51,O318:O328,O331:O341)</f>
        <v>0</v>
      </c>
      <c r="P383" s="228" t="s">
        <v>47</v>
      </c>
      <c r="Q383" s="144">
        <f>SUM(P43:P51,P318:P328,P331:P341)</f>
        <v>283500</v>
      </c>
      <c r="R383" s="144">
        <f>SUM(R43:R51,R318:R328,R331:R341)</f>
        <v>283500</v>
      </c>
      <c r="S383" s="228" t="s">
        <v>47</v>
      </c>
      <c r="T383" s="144">
        <f>SUM(S43:S51,S318:S328,S331:S341)</f>
        <v>0</v>
      </c>
      <c r="U383" s="144">
        <f>SUM(U43:U51,U318:U328,U331:U341)</f>
        <v>0</v>
      </c>
      <c r="V383" s="228" t="s">
        <v>47</v>
      </c>
      <c r="W383" s="144">
        <f>SUM(V43:V51,V318:V328,V331:V341)</f>
        <v>71720</v>
      </c>
      <c r="X383" s="144">
        <f>SUM(X43:X51,X318:X328,X331:X341)</f>
        <v>71720</v>
      </c>
      <c r="Y383" s="228" t="s">
        <v>47</v>
      </c>
      <c r="Z383" s="144">
        <f>SUM(Y43:Y51,Y318:Y328,Y331:Y341)</f>
        <v>0</v>
      </c>
      <c r="AA383" s="144">
        <f>SUM(AA43:AA51,AA318:AA328,AA331:AA341)</f>
        <v>0</v>
      </c>
      <c r="AB383" s="228" t="s">
        <v>47</v>
      </c>
      <c r="AC383" s="144">
        <f>SUM(AB43:AB51,AB318:AB328,AB331:AB341)</f>
        <v>2281764</v>
      </c>
      <c r="AD383" s="144">
        <f>SUM(AD43:AD51,AD318:AD328,AD331:AD341)</f>
        <v>2232079</v>
      </c>
      <c r="AE383" s="228" t="s">
        <v>47</v>
      </c>
      <c r="AF383" s="144">
        <f>SUM(AE43:AE51,AE318:AE328,AE331:AE341)</f>
        <v>144000</v>
      </c>
      <c r="AG383" s="233">
        <f>SUM(AG43:AG51,AG318:AG328,AG331:AG341)</f>
        <v>144000</v>
      </c>
      <c r="AH383" s="228" t="s">
        <v>47</v>
      </c>
      <c r="AI383" s="144">
        <f>SUM(AH43:AH51,AH318:AH328,AH331:AH341,AH266:AH276,AH19:AH28)</f>
        <v>142733</v>
      </c>
      <c r="AJ383" s="232">
        <f>SUM(AJ43:AJ51,AJ318:AJ328,AJ331:AJ341,AJ266:AJ276,AJ19:AJ28)</f>
        <v>142733</v>
      </c>
      <c r="AK383" s="228" t="s">
        <v>47</v>
      </c>
      <c r="AL383" s="144">
        <f>SUM(AK43:AK51,AK318:AK328,AK331:AK341,AK266:AK276,AK19:AK28)</f>
        <v>0</v>
      </c>
      <c r="AM383" s="232">
        <f>SUM(AM43:AM51,AM318:AM328,AM331:AM341,AM266:AM276,AM19:AM28)</f>
        <v>0</v>
      </c>
      <c r="AN383" s="228" t="s">
        <v>47</v>
      </c>
      <c r="AO383" s="144">
        <f>SUM(AN43:AN51,AN318:AN328,AN331:AN341,AN266:AN276,AN19:AN28)</f>
        <v>500000</v>
      </c>
      <c r="AP383" s="232">
        <f>SUM(AP43:AP51,AP318:AP328,AP331:AP341,AP266:AP276,AP19:AP28)</f>
        <v>0</v>
      </c>
      <c r="AQ383" s="228" t="s">
        <v>47</v>
      </c>
      <c r="AR383" s="144">
        <f>SUM(AQ43:AQ51,AQ318:AQ328,AQ331:AQ341,AQ266:AQ276,AQ19:AQ28)</f>
        <v>500000</v>
      </c>
      <c r="AS383" s="232">
        <f>SUM(AS43:AS51,AS318:AS328,AS331:AS341,AS266:AS276,AS19:AS28)</f>
        <v>0</v>
      </c>
      <c r="AT383" s="228" t="s">
        <v>47</v>
      </c>
      <c r="AU383" s="144">
        <f>SUM(AT43:AT51,AT318:AT328,AT331:AT341,AT266:AT276,AT19:AT28)</f>
        <v>500000</v>
      </c>
      <c r="AV383" s="232">
        <f>SUM(AV43:AV51,AV318:AV328,AV331:AV341,AV266:AV276,AV19:AV28)</f>
        <v>0</v>
      </c>
      <c r="AX383" s="145" t="s">
        <v>47</v>
      </c>
      <c r="AY383" s="144">
        <f t="shared" si="608"/>
        <v>4423717</v>
      </c>
      <c r="AZ383" s="231">
        <f>AY383/$AY$389</f>
        <v>7.8406966982670745E-2</v>
      </c>
      <c r="BB383" s="145" t="s">
        <v>47</v>
      </c>
      <c r="BC383" s="144">
        <f t="shared" si="609"/>
        <v>4140217</v>
      </c>
      <c r="BD383" s="272">
        <f t="shared" si="610"/>
        <v>8.4573426640850921E-2</v>
      </c>
      <c r="BE383" s="144">
        <f>BC383/(BC372-BC374-BC370)</f>
        <v>78.822240414271022</v>
      </c>
      <c r="BG383" s="145" t="s">
        <v>88</v>
      </c>
      <c r="BH383" s="174">
        <f>BC386</f>
        <v>725359</v>
      </c>
      <c r="BI383" s="261">
        <f>BH383/BH386</f>
        <v>1.4817120980562369E-2</v>
      </c>
    </row>
    <row r="384" spans="3:61">
      <c r="G384" s="228" t="s">
        <v>155</v>
      </c>
      <c r="H384" s="144">
        <f>SUM(G31:G40,G90:G99,G188:G198)</f>
        <v>0</v>
      </c>
      <c r="I384" s="144">
        <f>SUM(I31:I40,I90:I99,I188:I198)</f>
        <v>0</v>
      </c>
      <c r="J384" s="228" t="s">
        <v>155</v>
      </c>
      <c r="K384" s="144">
        <f>SUM(J31:J40,J90:J99,J188:J198)</f>
        <v>0</v>
      </c>
      <c r="L384" s="144">
        <f>SUM(L31:L40,L90:L99,L188:L198)</f>
        <v>0</v>
      </c>
      <c r="M384" s="228" t="s">
        <v>155</v>
      </c>
      <c r="N384" s="144">
        <f>SUM(M31:M40,M90:M99,M188:M198)</f>
        <v>0</v>
      </c>
      <c r="O384" s="144">
        <f>SUM(O31:O40,O90:O99,O188:O198)</f>
        <v>0</v>
      </c>
      <c r="P384" s="228" t="s">
        <v>155</v>
      </c>
      <c r="Q384" s="144">
        <f>SUM(P31:P40,P90:P99,P188:P198)</f>
        <v>788567</v>
      </c>
      <c r="R384" s="144">
        <f>SUM(R31:R40,R90:R99,R188:R198)</f>
        <v>711737</v>
      </c>
      <c r="S384" s="228" t="s">
        <v>155</v>
      </c>
      <c r="T384" s="144">
        <f>SUM(S31:S40,S90:S99,S188:S198)</f>
        <v>390308</v>
      </c>
      <c r="U384" s="144">
        <f>SUM(U31:U40,U90:U99,U188:U198)</f>
        <v>390308</v>
      </c>
      <c r="V384" s="228" t="s">
        <v>155</v>
      </c>
      <c r="W384" s="144">
        <f>SUM(V31:V40,V90:V99,V188:V198)</f>
        <v>0</v>
      </c>
      <c r="X384" s="144">
        <f>SUM(X31:X40,X90:X99,X188:X198)</f>
        <v>0</v>
      </c>
      <c r="Y384" s="228" t="s">
        <v>155</v>
      </c>
      <c r="Z384" s="144">
        <f>SUM(Y31:Y40,Y90:Y99,Y188:Y198)</f>
        <v>400000</v>
      </c>
      <c r="AA384" s="144">
        <f>SUM(AA31:AA40,AA90:AA99,AA188:AA198)</f>
        <v>347465</v>
      </c>
      <c r="AB384" s="228" t="s">
        <v>155</v>
      </c>
      <c r="AC384" s="144">
        <f>SUM(AB31:AB40,AB90:AB99,AB188:AB198)</f>
        <v>1200000</v>
      </c>
      <c r="AD384" s="144">
        <f>SUM(AD31:AD40,AD90:AD99,AD188:AD198)</f>
        <v>1200000</v>
      </c>
      <c r="AE384" s="228" t="s">
        <v>155</v>
      </c>
      <c r="AF384" s="144">
        <f>SUM(AE31:AE40,AE90:AE99,AE188:AE198)</f>
        <v>264937</v>
      </c>
      <c r="AG384" s="233">
        <f>SUM(AG31:AG40,AG90:AG99,AG188:AG198)</f>
        <v>264937</v>
      </c>
      <c r="AH384" s="228" t="s">
        <v>155</v>
      </c>
      <c r="AI384" s="144">
        <f>SUM(AH31:AH40,AH90:AH99,AH188:AH198,AH54:AH64,AH227:AH237,AH253:AH263)</f>
        <v>6308319</v>
      </c>
      <c r="AJ384" s="232">
        <f>SUM(AJ31:AJ40,AJ90:AJ99,AJ188:AJ198,AJ54:AJ64,AJ227:AJ237,AJ253:AJ263)</f>
        <v>6308319</v>
      </c>
      <c r="AK384" s="228" t="s">
        <v>155</v>
      </c>
      <c r="AL384" s="144">
        <f>SUM(AK31:AK40,AK90:AK99,AK188:AK198,AK54:AK64,AK227:AK237,AK253:AK263)</f>
        <v>32000</v>
      </c>
      <c r="AM384" s="232">
        <f>SUM(AM31:AM40,AM90:AM99,AM188:AM198,AM54:AM64,AM227:AM237,AM253:AM263)</f>
        <v>0</v>
      </c>
      <c r="AN384" s="228" t="s">
        <v>155</v>
      </c>
      <c r="AO384" s="144">
        <f>SUM(AN31:AN40,AN90:AN99,AN188:AN198,AN54:AN64,AN227:AN237,AN253:AN263)</f>
        <v>3082220</v>
      </c>
      <c r="AP384" s="232">
        <f>SUM(AP31:AP40,AP90:AP99,AP188:AP198,AP54:AP64,AP227:AP237,AP253:AP263)</f>
        <v>0</v>
      </c>
      <c r="AQ384" s="228" t="s">
        <v>155</v>
      </c>
      <c r="AR384" s="144">
        <f>SUM(AQ31:AQ40,AQ90:AQ99,AQ188:AQ198,AQ54:AQ64,AQ227:AQ237,AQ253:AQ263)</f>
        <v>2384460</v>
      </c>
      <c r="AS384" s="232">
        <f>SUM(AS31:AS40,AS90:AS99,AS188:AS198,AS54:AS64,AS227:AS237,AS253:AS263)</f>
        <v>0</v>
      </c>
      <c r="AT384" s="228" t="s">
        <v>155</v>
      </c>
      <c r="AU384" s="144">
        <f>SUM(AT31:AT40,AT90:AT99,AT188:AT198,AT54:AT64,AT227:AT237,AT253:AT263)</f>
        <v>0</v>
      </c>
      <c r="AV384" s="232">
        <f>SUM(AV31:AV40,AV90:AV99,AV188:AV198,AV54:AV64,AV227:AV237,AV253:AV263)</f>
        <v>0</v>
      </c>
      <c r="AX384" s="145" t="s">
        <v>155</v>
      </c>
      <c r="AY384" s="144">
        <f t="shared" si="608"/>
        <v>14850811</v>
      </c>
      <c r="AZ384" s="231">
        <f>AY384/$AY$389</f>
        <v>0.26321915433172677</v>
      </c>
      <c r="BB384" s="145" t="s">
        <v>155</v>
      </c>
      <c r="BC384" s="144">
        <f t="shared" si="609"/>
        <v>14062244</v>
      </c>
      <c r="BD384" s="272">
        <f t="shared" si="610"/>
        <v>0.28725358147646513</v>
      </c>
      <c r="BE384" s="144">
        <f>BC384/(BC373-BC371)</f>
        <v>317.58269156936694</v>
      </c>
      <c r="BG384" s="145" t="s">
        <v>80</v>
      </c>
      <c r="BH384" s="174">
        <f>BC387</f>
        <v>1270000</v>
      </c>
      <c r="BI384" s="261">
        <f>BH384/BH386</f>
        <v>2.5942662385541791E-2</v>
      </c>
    </row>
    <row r="385" spans="7:61">
      <c r="G385" s="228" t="s">
        <v>156</v>
      </c>
      <c r="H385" s="144"/>
      <c r="I385" s="144"/>
      <c r="J385" s="228" t="s">
        <v>156</v>
      </c>
      <c r="K385" s="144"/>
      <c r="L385" s="144"/>
      <c r="M385" s="228" t="s">
        <v>156</v>
      </c>
      <c r="N385" s="144"/>
      <c r="O385" s="144"/>
      <c r="P385" s="228" t="s">
        <v>156</v>
      </c>
      <c r="Q385" s="144"/>
      <c r="R385" s="144"/>
      <c r="S385" s="228" t="s">
        <v>156</v>
      </c>
      <c r="T385" s="144"/>
      <c r="U385" s="144"/>
      <c r="V385" s="228" t="s">
        <v>156</v>
      </c>
      <c r="W385" s="144"/>
      <c r="X385" s="144"/>
      <c r="Y385" s="228" t="s">
        <v>156</v>
      </c>
      <c r="Z385" s="144"/>
      <c r="AA385" s="144"/>
      <c r="AB385" s="228" t="s">
        <v>156</v>
      </c>
      <c r="AC385" s="144"/>
      <c r="AD385" s="144"/>
      <c r="AE385" s="228" t="s">
        <v>156</v>
      </c>
      <c r="AF385" s="144"/>
      <c r="AG385" s="233"/>
      <c r="AH385" s="228" t="s">
        <v>156</v>
      </c>
      <c r="AI385" s="144"/>
      <c r="AJ385" s="232"/>
      <c r="AK385" s="228" t="s">
        <v>156</v>
      </c>
      <c r="AL385" s="144"/>
      <c r="AM385" s="232"/>
      <c r="AN385" s="228" t="s">
        <v>156</v>
      </c>
      <c r="AO385" s="144"/>
      <c r="AP385" s="232"/>
      <c r="AQ385" s="228" t="s">
        <v>156</v>
      </c>
      <c r="AR385" s="144"/>
      <c r="AS385" s="232"/>
      <c r="AT385" s="228" t="s">
        <v>156</v>
      </c>
      <c r="AU385" s="144"/>
      <c r="AV385" s="232"/>
      <c r="AX385" s="145" t="s">
        <v>156</v>
      </c>
      <c r="AY385" s="144">
        <f t="shared" si="608"/>
        <v>0</v>
      </c>
      <c r="AZ385" s="231">
        <f t="shared" ref="AZ385" si="611">AY385/$AY$389</f>
        <v>0</v>
      </c>
      <c r="BB385" s="145" t="s">
        <v>156</v>
      </c>
      <c r="BC385" s="144">
        <f t="shared" si="609"/>
        <v>0</v>
      </c>
      <c r="BD385" s="272">
        <f t="shared" si="610"/>
        <v>0</v>
      </c>
      <c r="BE385" s="233">
        <v>0</v>
      </c>
      <c r="BG385" s="265" t="s">
        <v>30</v>
      </c>
      <c r="BH385" s="253">
        <f>BC388</f>
        <v>2000000</v>
      </c>
      <c r="BI385" s="261">
        <f>BH385/BH386</f>
        <v>4.0854586433924082E-2</v>
      </c>
    </row>
    <row r="386" spans="7:61">
      <c r="G386" s="228" t="s">
        <v>88</v>
      </c>
      <c r="H386" s="144">
        <f>SUM(G279:G289,G214:G224)</f>
        <v>0</v>
      </c>
      <c r="I386" s="144">
        <f>SUM(I279:I289,I214:I224)</f>
        <v>0</v>
      </c>
      <c r="J386" s="228" t="s">
        <v>88</v>
      </c>
      <c r="K386" s="144">
        <f>SUM(J279:J289,J214:J224)</f>
        <v>0</v>
      </c>
      <c r="L386" s="144">
        <f>SUM(L279:L289,L214:L224)</f>
        <v>0</v>
      </c>
      <c r="M386" s="228" t="s">
        <v>88</v>
      </c>
      <c r="N386" s="144">
        <f>SUM(M279:M289,M214:M224)</f>
        <v>0</v>
      </c>
      <c r="O386" s="144">
        <f>SUM(O279:O289,O214:O224)</f>
        <v>0</v>
      </c>
      <c r="P386" s="228" t="s">
        <v>88</v>
      </c>
      <c r="Q386" s="144">
        <f>SUM(P279:P289,P214:P224)</f>
        <v>0</v>
      </c>
      <c r="R386" s="144">
        <f>SUM(R279:R289,R214:R224)</f>
        <v>0</v>
      </c>
      <c r="S386" s="228" t="s">
        <v>88</v>
      </c>
      <c r="T386" s="144">
        <f>SUM(S279:S289,S214:S224)</f>
        <v>180616</v>
      </c>
      <c r="U386" s="144">
        <f>SUM(U279:U289,U214:U224)</f>
        <v>180616</v>
      </c>
      <c r="V386" s="228" t="s">
        <v>88</v>
      </c>
      <c r="W386" s="144">
        <f>SUM(V279:V289,V214:V224)</f>
        <v>119997</v>
      </c>
      <c r="X386" s="144">
        <f>SUM(X279:X289,X214:X224)</f>
        <v>119997</v>
      </c>
      <c r="Y386" s="228" t="s">
        <v>88</v>
      </c>
      <c r="Z386" s="144">
        <f>SUM(Y279:Y289,Y214:Y224)</f>
        <v>324746</v>
      </c>
      <c r="AA386" s="144">
        <f>SUM(AA279:AA289,AA214:AA224)</f>
        <v>324746</v>
      </c>
      <c r="AB386" s="228" t="s">
        <v>88</v>
      </c>
      <c r="AC386" s="144">
        <f>SUM(AB279:AB289,AB214:AB224)</f>
        <v>0</v>
      </c>
      <c r="AD386" s="144">
        <f>SUM(AD279:AD289,AD214:AD224)</f>
        <v>0</v>
      </c>
      <c r="AE386" s="228" t="s">
        <v>88</v>
      </c>
      <c r="AF386" s="144">
        <f>SUM(AE279:AE289,AE214:AE224,AE240:AE250)</f>
        <v>100000</v>
      </c>
      <c r="AG386" s="233">
        <f>SUM(AG279:AG289,AG214:AG224,AG240:AG250)</f>
        <v>100000</v>
      </c>
      <c r="AH386" s="228" t="s">
        <v>88</v>
      </c>
      <c r="AI386" s="144">
        <f>SUM(AH279:AH289,AH214:AH224)</f>
        <v>0</v>
      </c>
      <c r="AJ386" s="232">
        <f>SUM(AJ279:AJ289,AJ214:AJ224)</f>
        <v>0</v>
      </c>
      <c r="AK386" s="228" t="s">
        <v>88</v>
      </c>
      <c r="AL386" s="144">
        <f>SUM(AK279:AK289,AK214:AK224)</f>
        <v>0</v>
      </c>
      <c r="AM386" s="232">
        <f>SUM(AM279:AM289,AM214:AM224)</f>
        <v>0</v>
      </c>
      <c r="AN386" s="228" t="s">
        <v>88</v>
      </c>
      <c r="AO386" s="144">
        <f>SUM(AN279:AN289,AN214:AN224)</f>
        <v>0</v>
      </c>
      <c r="AP386" s="232">
        <f>SUM(AP279:AP289,AP214:AP224)</f>
        <v>0</v>
      </c>
      <c r="AQ386" s="228" t="s">
        <v>88</v>
      </c>
      <c r="AR386" s="144">
        <f>SUM(AQ279:AQ289,AQ214:AQ224)</f>
        <v>0</v>
      </c>
      <c r="AS386" s="232">
        <f>SUM(AS279:AS289,AS214:AS224)</f>
        <v>0</v>
      </c>
      <c r="AT386" s="228" t="s">
        <v>88</v>
      </c>
      <c r="AU386" s="144">
        <f>SUM(AT279:AT289,AT214:AT224)</f>
        <v>0</v>
      </c>
      <c r="AV386" s="232">
        <f>SUM(AV279:AV289,AV214:AV224)</f>
        <v>0</v>
      </c>
      <c r="AX386" s="145" t="s">
        <v>88</v>
      </c>
      <c r="AY386" s="144">
        <f t="shared" si="608"/>
        <v>725359</v>
      </c>
      <c r="AZ386" s="231">
        <f>AY386/$AY$389</f>
        <v>1.285642801372309E-2</v>
      </c>
      <c r="BB386" s="145" t="s">
        <v>88</v>
      </c>
      <c r="BC386" s="144">
        <f t="shared" si="609"/>
        <v>725359</v>
      </c>
      <c r="BD386" s="272">
        <f t="shared" si="610"/>
        <v>1.4817120980562369E-2</v>
      </c>
      <c r="BE386" s="145"/>
      <c r="BG386" s="145" t="s">
        <v>167</v>
      </c>
      <c r="BH386" s="144">
        <f>SUM(BH381:BH385)</f>
        <v>48954112</v>
      </c>
      <c r="BI386" s="231">
        <f>SUM(BI381:BI385)</f>
        <v>0.99999999999999989</v>
      </c>
    </row>
    <row r="387" spans="7:61">
      <c r="G387" s="228" t="s">
        <v>80</v>
      </c>
      <c r="H387" s="144">
        <f>SUM(G176:G185)</f>
        <v>127000</v>
      </c>
      <c r="I387" s="144">
        <f>SUM(I176:I185)</f>
        <v>127000</v>
      </c>
      <c r="J387" s="228" t="s">
        <v>80</v>
      </c>
      <c r="K387" s="144">
        <f>SUM(J176:J185)</f>
        <v>127000</v>
      </c>
      <c r="L387" s="144">
        <f>SUM(L176:L185)</f>
        <v>127000</v>
      </c>
      <c r="M387" s="228" t="s">
        <v>80</v>
      </c>
      <c r="N387" s="144">
        <f>SUM(M176:M185)</f>
        <v>127000</v>
      </c>
      <c r="O387" s="144">
        <f>SUM(O176:O185)</f>
        <v>127000</v>
      </c>
      <c r="P387" s="228" t="s">
        <v>80</v>
      </c>
      <c r="Q387" s="144">
        <f>SUM(P176:P185)</f>
        <v>127000</v>
      </c>
      <c r="R387" s="144">
        <f>SUM(R176:R185)</f>
        <v>127000</v>
      </c>
      <c r="S387" s="228" t="s">
        <v>80</v>
      </c>
      <c r="T387" s="144">
        <f>SUM(S176:S185)</f>
        <v>127000</v>
      </c>
      <c r="U387" s="144">
        <f>SUM(U176:U185)</f>
        <v>127000</v>
      </c>
      <c r="V387" s="228" t="s">
        <v>80</v>
      </c>
      <c r="W387" s="144">
        <f>SUM(V176:V185)</f>
        <v>127000</v>
      </c>
      <c r="X387" s="144">
        <f>SUM(X176:X185)</f>
        <v>127000</v>
      </c>
      <c r="Y387" s="228" t="s">
        <v>80</v>
      </c>
      <c r="Z387" s="144">
        <f>SUM(Y176:Y185)</f>
        <v>127000</v>
      </c>
      <c r="AA387" s="144">
        <f>SUM(AA176:AA185)</f>
        <v>127000</v>
      </c>
      <c r="AB387" s="228" t="s">
        <v>80</v>
      </c>
      <c r="AC387" s="144">
        <f>SUM(AB176:AB185)</f>
        <v>127000</v>
      </c>
      <c r="AD387" s="144">
        <f>SUM(AD176:AD185)</f>
        <v>127000</v>
      </c>
      <c r="AE387" s="228" t="s">
        <v>80</v>
      </c>
      <c r="AF387" s="144">
        <f>SUM(AE176:AE185)</f>
        <v>127000</v>
      </c>
      <c r="AG387" s="233">
        <f>SUM(AG176:AG185)</f>
        <v>127000</v>
      </c>
      <c r="AH387" s="228" t="s">
        <v>80</v>
      </c>
      <c r="AI387" s="144">
        <f>SUM(AH176:AH185)</f>
        <v>127000</v>
      </c>
      <c r="AJ387" s="232">
        <f>SUM(AJ176:AJ185)</f>
        <v>127000</v>
      </c>
      <c r="AK387" s="228" t="s">
        <v>80</v>
      </c>
      <c r="AL387" s="144">
        <f>SUM(AK176:AK185)</f>
        <v>127000</v>
      </c>
      <c r="AM387" s="232">
        <f>SUM(AM176:AM185)</f>
        <v>0</v>
      </c>
      <c r="AN387" s="228" t="s">
        <v>80</v>
      </c>
      <c r="AO387" s="144">
        <f>SUM(AN176:AN185)</f>
        <v>127000</v>
      </c>
      <c r="AP387" s="232">
        <f>SUM(AP176:AP185)</f>
        <v>0</v>
      </c>
      <c r="AQ387" s="228" t="s">
        <v>80</v>
      </c>
      <c r="AR387" s="144">
        <f>SUM(AQ176:AQ185)</f>
        <v>127000</v>
      </c>
      <c r="AS387" s="232">
        <f>SUM(AS176:AS185)</f>
        <v>0</v>
      </c>
      <c r="AT387" s="228" t="s">
        <v>80</v>
      </c>
      <c r="AU387" s="144">
        <f>SUM(AT176:AT185)</f>
        <v>127000</v>
      </c>
      <c r="AV387" s="232">
        <f>SUM(AV176:AV185)</f>
        <v>0</v>
      </c>
      <c r="AX387" s="145" t="s">
        <v>80</v>
      </c>
      <c r="AY387" s="144">
        <f t="shared" si="608"/>
        <v>1778000</v>
      </c>
      <c r="AZ387" s="231">
        <f>AY387/$AY$389</f>
        <v>3.1513676687543207E-2</v>
      </c>
      <c r="BB387" s="145" t="s">
        <v>80</v>
      </c>
      <c r="BC387" s="144">
        <f t="shared" si="609"/>
        <v>1270000</v>
      </c>
      <c r="BD387" s="272">
        <f t="shared" si="610"/>
        <v>2.5942662385541791E-2</v>
      </c>
      <c r="BE387" s="145"/>
      <c r="BG387" s="145" t="s">
        <v>168</v>
      </c>
      <c r="BH387" s="144">
        <f>BH386-BH384</f>
        <v>47684112</v>
      </c>
      <c r="BI387" s="231"/>
    </row>
    <row r="388" spans="7:61">
      <c r="G388" s="228" t="s">
        <v>30</v>
      </c>
      <c r="H388" s="144">
        <f>SUM(G7:G16)</f>
        <v>200000</v>
      </c>
      <c r="I388" s="144">
        <f>SUM(I7:I16)</f>
        <v>200000</v>
      </c>
      <c r="J388" s="228" t="s">
        <v>30</v>
      </c>
      <c r="K388" s="144">
        <f>SUM(J7:J16)</f>
        <v>200000</v>
      </c>
      <c r="L388" s="144">
        <f>SUM(L7:L16)</f>
        <v>200000</v>
      </c>
      <c r="M388" s="228" t="s">
        <v>30</v>
      </c>
      <c r="N388" s="144">
        <f>SUM(M7:M16)</f>
        <v>200000</v>
      </c>
      <c r="O388" s="144">
        <f>SUM(O7:O16)</f>
        <v>200000</v>
      </c>
      <c r="P388" s="228" t="s">
        <v>30</v>
      </c>
      <c r="Q388" s="144">
        <f>SUM(P7:P16)</f>
        <v>200000</v>
      </c>
      <c r="R388" s="144">
        <f>SUM(R7:R16)</f>
        <v>200000</v>
      </c>
      <c r="S388" s="228" t="s">
        <v>30</v>
      </c>
      <c r="T388" s="144">
        <f>SUM(S7:S16)</f>
        <v>200000</v>
      </c>
      <c r="U388" s="144">
        <f>SUM(U7:U16)</f>
        <v>200000</v>
      </c>
      <c r="V388" s="228" t="s">
        <v>30</v>
      </c>
      <c r="W388" s="144">
        <f>SUM(V7:V16)</f>
        <v>200000</v>
      </c>
      <c r="X388" s="144">
        <f>SUM(X7:X16)</f>
        <v>200000</v>
      </c>
      <c r="Y388" s="228" t="s">
        <v>30</v>
      </c>
      <c r="Z388" s="144">
        <f>SUM(Y7:Y16)</f>
        <v>200000</v>
      </c>
      <c r="AA388" s="144">
        <f>SUM(AA7:AA16)</f>
        <v>200000</v>
      </c>
      <c r="AB388" s="228" t="s">
        <v>30</v>
      </c>
      <c r="AC388" s="144">
        <f>SUM(AB7:AB16)</f>
        <v>200000</v>
      </c>
      <c r="AD388" s="144">
        <f>SUM(AD7:AD16)</f>
        <v>192971</v>
      </c>
      <c r="AE388" s="228" t="s">
        <v>30</v>
      </c>
      <c r="AF388" s="144">
        <f>SUM(AE7:AE16)</f>
        <v>200000</v>
      </c>
      <c r="AG388" s="233">
        <f>SUM(AG7:AG16)</f>
        <v>200000</v>
      </c>
      <c r="AH388" s="228" t="s">
        <v>30</v>
      </c>
      <c r="AI388" s="144">
        <f>SUM(AH7:AH16)</f>
        <v>200000</v>
      </c>
      <c r="AJ388" s="232">
        <f>SUM(AJ7:AJ16)</f>
        <v>200000</v>
      </c>
      <c r="AK388" s="228" t="s">
        <v>30</v>
      </c>
      <c r="AL388" s="144">
        <f>SUM(AK7:AK16)</f>
        <v>200000</v>
      </c>
      <c r="AM388" s="232">
        <f>SUM(AM7:AM16)</f>
        <v>0</v>
      </c>
      <c r="AN388" s="228" t="s">
        <v>30</v>
      </c>
      <c r="AO388" s="144">
        <f>SUM(AN7:AN16)</f>
        <v>200000</v>
      </c>
      <c r="AP388" s="232">
        <f>SUM(AP7:AP16)</f>
        <v>0</v>
      </c>
      <c r="AQ388" s="228" t="s">
        <v>30</v>
      </c>
      <c r="AR388" s="144">
        <f>SUM(AQ7:AQ16)</f>
        <v>200000</v>
      </c>
      <c r="AS388" s="232">
        <f>SUM(AS7:AS16)</f>
        <v>0</v>
      </c>
      <c r="AT388" s="228" t="s">
        <v>30</v>
      </c>
      <c r="AU388" s="144">
        <f>SUM(AT7:AT16)</f>
        <v>200000</v>
      </c>
      <c r="AV388" s="232">
        <f>SUM(AV7:AV16)</f>
        <v>0</v>
      </c>
      <c r="AX388" s="265" t="s">
        <v>30</v>
      </c>
      <c r="AY388" s="144">
        <f>SUM(H388,K388,N388,Q388,T388,W388,Z388,AC388,AF388,AI388,AL388,AO388,AR388,AU388)</f>
        <v>2800000</v>
      </c>
      <c r="AZ388" s="231">
        <f>AY388/$AY$389</f>
        <v>4.9627837303217646E-2</v>
      </c>
      <c r="BB388" s="265" t="s">
        <v>30</v>
      </c>
      <c r="BC388" s="144">
        <f t="shared" si="609"/>
        <v>2000000</v>
      </c>
      <c r="BD388" s="273">
        <f t="shared" si="610"/>
        <v>4.0854586433924082E-2</v>
      </c>
      <c r="BE388" s="145"/>
      <c r="BH388" s="56"/>
      <c r="BI388" s="171"/>
    </row>
    <row r="389" spans="7:61">
      <c r="G389" s="228"/>
      <c r="H389" s="144"/>
      <c r="I389" s="144"/>
      <c r="J389" s="228"/>
      <c r="K389" s="144"/>
      <c r="L389" s="144"/>
      <c r="M389" s="228"/>
      <c r="N389" s="144"/>
      <c r="O389" s="144"/>
      <c r="P389" s="228"/>
      <c r="Q389" s="144"/>
      <c r="R389" s="144"/>
      <c r="S389" s="228"/>
      <c r="T389" s="144"/>
      <c r="U389" s="144"/>
      <c r="V389" s="228"/>
      <c r="W389" s="144"/>
      <c r="X389" s="144"/>
      <c r="Y389" s="228"/>
      <c r="Z389" s="144"/>
      <c r="AA389" s="144"/>
      <c r="AB389" s="228"/>
      <c r="AC389" s="144"/>
      <c r="AD389" s="144"/>
      <c r="AE389" s="228"/>
      <c r="AF389" s="144"/>
      <c r="AG389" s="232"/>
      <c r="AH389" s="228"/>
      <c r="AI389" s="144"/>
      <c r="AJ389" s="232"/>
      <c r="AK389" s="228"/>
      <c r="AL389" s="144"/>
      <c r="AM389" s="232"/>
      <c r="AN389" s="228"/>
      <c r="AO389" s="144"/>
      <c r="AP389" s="232"/>
      <c r="AQ389" s="228"/>
      <c r="AR389" s="144"/>
      <c r="AS389" s="232"/>
      <c r="AT389" s="228"/>
      <c r="AU389" s="144"/>
      <c r="AV389" s="232"/>
      <c r="AX389" s="245" t="s">
        <v>167</v>
      </c>
      <c r="AY389" s="332">
        <f>SUM(AY381:AY388)</f>
        <v>56419948</v>
      </c>
      <c r="AZ389" s="391">
        <f>SUM(AZ381:AZ388)</f>
        <v>1.0000000000000002</v>
      </c>
      <c r="BB389" s="145" t="s">
        <v>167</v>
      </c>
      <c r="BC389" s="144">
        <f>SUM(BC381:BC388)</f>
        <v>48954112</v>
      </c>
      <c r="BD389" s="231">
        <f>SUM(BD381:BD388)</f>
        <v>0.99999999999999989</v>
      </c>
      <c r="BE389" s="450"/>
      <c r="BH389" s="56"/>
      <c r="BI389" s="171"/>
    </row>
    <row r="390" spans="7:61" ht="30.75">
      <c r="AX390" s="246" t="s">
        <v>169</v>
      </c>
      <c r="AY390" s="392">
        <f>AY389-AY387</f>
        <v>54641948</v>
      </c>
      <c r="AZ390" s="393"/>
      <c r="BB390" s="145" t="s">
        <v>169</v>
      </c>
      <c r="BC390" s="144">
        <f>BC389-BC387</f>
        <v>47684112</v>
      </c>
      <c r="BD390" s="145"/>
      <c r="BE390" s="450"/>
      <c r="BG390" s="145" t="s">
        <v>164</v>
      </c>
      <c r="BH390" s="228" t="s">
        <v>161</v>
      </c>
      <c r="BI390" s="275" t="s">
        <v>162</v>
      </c>
    </row>
    <row r="391" spans="7:61">
      <c r="G391" s="230" t="s">
        <v>145</v>
      </c>
      <c r="H391" s="230" t="s">
        <v>170</v>
      </c>
      <c r="J391" s="230" t="s">
        <v>145</v>
      </c>
      <c r="K391" s="230" t="s">
        <v>170</v>
      </c>
      <c r="M391" s="230" t="s">
        <v>145</v>
      </c>
      <c r="N391" s="230" t="s">
        <v>170</v>
      </c>
      <c r="P391" s="230" t="s">
        <v>145</v>
      </c>
      <c r="Q391" s="230" t="s">
        <v>170</v>
      </c>
      <c r="S391" s="230" t="s">
        <v>145</v>
      </c>
      <c r="T391" s="230" t="s">
        <v>170</v>
      </c>
      <c r="V391" s="230" t="s">
        <v>145</v>
      </c>
      <c r="W391" s="230" t="s">
        <v>170</v>
      </c>
      <c r="Y391" s="230" t="s">
        <v>145</v>
      </c>
      <c r="Z391" s="230" t="s">
        <v>170</v>
      </c>
      <c r="AB391" s="230" t="s">
        <v>145</v>
      </c>
      <c r="AC391" s="230" t="s">
        <v>170</v>
      </c>
      <c r="AE391" s="230" t="s">
        <v>145</v>
      </c>
      <c r="AF391" s="230" t="s">
        <v>170</v>
      </c>
      <c r="AH391" s="230" t="s">
        <v>145</v>
      </c>
      <c r="AI391" s="230" t="s">
        <v>170</v>
      </c>
      <c r="AK391" s="230" t="s">
        <v>145</v>
      </c>
      <c r="AL391" s="230" t="s">
        <v>170</v>
      </c>
      <c r="AN391" s="230" t="s">
        <v>145</v>
      </c>
      <c r="AO391" s="230" t="s">
        <v>170</v>
      </c>
      <c r="AQ391" s="230" t="s">
        <v>145</v>
      </c>
      <c r="AR391" s="230" t="s">
        <v>170</v>
      </c>
      <c r="AT391" s="230" t="s">
        <v>145</v>
      </c>
      <c r="AU391" s="230" t="s">
        <v>170</v>
      </c>
      <c r="BG391" s="145" t="s">
        <v>165</v>
      </c>
      <c r="BH391" s="174">
        <f>((BH383+BH385)/2)+BH381</f>
        <v>17925601.5</v>
      </c>
      <c r="BI391" s="261">
        <f>BH391/BH393</f>
        <v>0.37592398700850294</v>
      </c>
    </row>
    <row r="392" spans="7:61">
      <c r="G392" s="228" t="s">
        <v>151</v>
      </c>
      <c r="H392" s="231" t="e">
        <f>I381/H370</f>
        <v>#DIV/0!</v>
      </c>
      <c r="J392" s="228" t="s">
        <v>151</v>
      </c>
      <c r="K392" s="231" t="e">
        <f>L381/K370</f>
        <v>#DIV/0!</v>
      </c>
      <c r="M392" s="228" t="s">
        <v>151</v>
      </c>
      <c r="N392" s="231">
        <f>O381/N370</f>
        <v>1</v>
      </c>
      <c r="P392" s="228" t="s">
        <v>151</v>
      </c>
      <c r="Q392" s="231" t="e">
        <f>R381/Q370</f>
        <v>#DIV/0!</v>
      </c>
      <c r="S392" s="228" t="s">
        <v>151</v>
      </c>
      <c r="T392" s="231">
        <f>U381/T370</f>
        <v>1</v>
      </c>
      <c r="V392" s="228" t="s">
        <v>151</v>
      </c>
      <c r="W392" s="231">
        <f>X381/W370</f>
        <v>1</v>
      </c>
      <c r="Y392" s="228" t="s">
        <v>151</v>
      </c>
      <c r="Z392" s="231">
        <f>AA381/Z370</f>
        <v>1</v>
      </c>
      <c r="AB392" s="228" t="s">
        <v>151</v>
      </c>
      <c r="AC392" s="231" t="e">
        <f t="shared" ref="AC392:AC400" si="612">AD381/AC370</f>
        <v>#DIV/0!</v>
      </c>
      <c r="AE392" s="228" t="s">
        <v>151</v>
      </c>
      <c r="AF392" s="231">
        <f t="shared" ref="AF392:AF400" si="613">AG381/AF370</f>
        <v>0.13518780096308186</v>
      </c>
      <c r="AH392" s="228" t="s">
        <v>151</v>
      </c>
      <c r="AI392" s="231" t="e">
        <f t="shared" ref="AI392:AI400" si="614">AJ381/AI370</f>
        <v>#DIV/0!</v>
      </c>
      <c r="AK392" s="228" t="s">
        <v>151</v>
      </c>
      <c r="AL392" s="231">
        <f t="shared" ref="AL392:AL400" si="615">AM381/AL370</f>
        <v>0</v>
      </c>
      <c r="AN392" s="228" t="s">
        <v>151</v>
      </c>
      <c r="AO392" s="231" t="e">
        <f>AP381/AO370</f>
        <v>#DIV/0!</v>
      </c>
      <c r="AQ392" s="228" t="s">
        <v>151</v>
      </c>
      <c r="AR392" s="231" t="e">
        <f>AS381/AR370</f>
        <v>#DIV/0!</v>
      </c>
      <c r="AT392" s="228" t="s">
        <v>151</v>
      </c>
      <c r="AU392" s="231" t="e">
        <f>AV381/AU370</f>
        <v>#DIV/0!</v>
      </c>
      <c r="BG392" s="265" t="s">
        <v>166</v>
      </c>
      <c r="BH392" s="253">
        <f>((BH383+BH385)/2)+BH382</f>
        <v>29758510.5</v>
      </c>
      <c r="BI392" s="261">
        <f>BH392/BH393</f>
        <v>0.62407601299149706</v>
      </c>
    </row>
    <row r="393" spans="7:61">
      <c r="G393" s="228" t="s">
        <v>57</v>
      </c>
      <c r="H393" s="231" t="e">
        <f>I382/H371</f>
        <v>#DIV/0!</v>
      </c>
      <c r="J393" s="228" t="s">
        <v>57</v>
      </c>
      <c r="K393" s="231">
        <f>L382/K371</f>
        <v>1</v>
      </c>
      <c r="M393" s="228" t="s">
        <v>57</v>
      </c>
      <c r="N393" s="231">
        <f>O382/N371</f>
        <v>1</v>
      </c>
      <c r="P393" s="228" t="s">
        <v>57</v>
      </c>
      <c r="Q393" s="231">
        <f>R382/Q371</f>
        <v>0.91841031439540766</v>
      </c>
      <c r="S393" s="228" t="s">
        <v>57</v>
      </c>
      <c r="T393" s="231">
        <f>U382/T371</f>
        <v>1</v>
      </c>
      <c r="V393" s="228" t="s">
        <v>57</v>
      </c>
      <c r="W393" s="231">
        <f>X382/W371</f>
        <v>1</v>
      </c>
      <c r="Y393" s="228" t="s">
        <v>57</v>
      </c>
      <c r="Z393" s="231">
        <f>AA382/Z371</f>
        <v>1</v>
      </c>
      <c r="AB393" s="228" t="s">
        <v>57</v>
      </c>
      <c r="AC393" s="231">
        <f t="shared" si="612"/>
        <v>0</v>
      </c>
      <c r="AE393" s="228" t="s">
        <v>57</v>
      </c>
      <c r="AF393" s="231">
        <f t="shared" si="613"/>
        <v>0</v>
      </c>
      <c r="AH393" s="228" t="s">
        <v>57</v>
      </c>
      <c r="AI393" s="231">
        <f t="shared" si="614"/>
        <v>1</v>
      </c>
      <c r="AK393" s="228" t="s">
        <v>57</v>
      </c>
      <c r="AL393" s="231">
        <f t="shared" si="615"/>
        <v>0</v>
      </c>
      <c r="AN393" s="228" t="s">
        <v>57</v>
      </c>
      <c r="AO393" s="231">
        <f>AP382/AO371</f>
        <v>0</v>
      </c>
      <c r="AQ393" s="228" t="s">
        <v>57</v>
      </c>
      <c r="AR393" s="231">
        <f>AS382/AR371</f>
        <v>0</v>
      </c>
      <c r="AT393" s="228" t="s">
        <v>57</v>
      </c>
      <c r="AU393" s="231">
        <f>AV382/AU371</f>
        <v>0</v>
      </c>
      <c r="BG393" s="145" t="s">
        <v>167</v>
      </c>
      <c r="BH393" s="144">
        <f>SUM(BH391:BH392)</f>
        <v>47684112</v>
      </c>
      <c r="BI393" s="231">
        <f>SUM(BI391:BI392)</f>
        <v>1</v>
      </c>
    </row>
    <row r="394" spans="7:61">
      <c r="G394" s="228" t="s">
        <v>47</v>
      </c>
      <c r="H394" s="231" t="e">
        <f t="shared" ref="H394" si="616">I383/H372</f>
        <v>#DIV/0!</v>
      </c>
      <c r="J394" s="228" t="s">
        <v>47</v>
      </c>
      <c r="K394" s="231" t="e">
        <f t="shared" ref="K394" si="617">L383/K372</f>
        <v>#DIV/0!</v>
      </c>
      <c r="M394" s="228" t="s">
        <v>47</v>
      </c>
      <c r="N394" s="231" t="e">
        <f t="shared" ref="N394" si="618">O383/N372</f>
        <v>#DIV/0!</v>
      </c>
      <c r="P394" s="228" t="s">
        <v>47</v>
      </c>
      <c r="Q394" s="231">
        <f t="shared" ref="Q394" si="619">R383/Q372</f>
        <v>1</v>
      </c>
      <c r="S394" s="228" t="s">
        <v>47</v>
      </c>
      <c r="T394" s="231" t="e">
        <f t="shared" ref="T394" si="620">U383/T372</f>
        <v>#DIV/0!</v>
      </c>
      <c r="V394" s="228" t="s">
        <v>47</v>
      </c>
      <c r="W394" s="231">
        <f t="shared" ref="W394" si="621">X383/W372</f>
        <v>1</v>
      </c>
      <c r="Y394" s="228" t="s">
        <v>47</v>
      </c>
      <c r="Z394" s="231" t="e">
        <f t="shared" ref="Z394" si="622">AA383/Z372</f>
        <v>#DIV/0!</v>
      </c>
      <c r="AB394" s="228" t="s">
        <v>47</v>
      </c>
      <c r="AC394" s="231">
        <f t="shared" si="612"/>
        <v>0.97822518016762472</v>
      </c>
      <c r="AE394" s="228" t="s">
        <v>47</v>
      </c>
      <c r="AF394" s="231">
        <f>AG383/AF383</f>
        <v>1</v>
      </c>
      <c r="AH394" s="228" t="s">
        <v>47</v>
      </c>
      <c r="AI394" s="231" t="e">
        <f t="shared" si="614"/>
        <v>#DIV/0!</v>
      </c>
      <c r="AK394" s="228" t="s">
        <v>47</v>
      </c>
      <c r="AL394" s="231" t="e">
        <f t="shared" si="615"/>
        <v>#DIV/0!</v>
      </c>
      <c r="AN394" s="228" t="s">
        <v>47</v>
      </c>
      <c r="AO394" s="231">
        <f t="shared" ref="AO394:AO395" si="623">AP383/AO372</f>
        <v>0</v>
      </c>
      <c r="AQ394" s="228" t="s">
        <v>47</v>
      </c>
      <c r="AR394" s="231">
        <f t="shared" ref="AR394:AR395" si="624">AS383/AR372</f>
        <v>0</v>
      </c>
      <c r="AT394" s="228" t="s">
        <v>47</v>
      </c>
      <c r="AU394" s="231">
        <f t="shared" ref="AU394:AU395" si="625">AV383/AU372</f>
        <v>0</v>
      </c>
    </row>
    <row r="395" spans="7:61">
      <c r="G395" s="228" t="s">
        <v>155</v>
      </c>
      <c r="H395" s="231" t="e">
        <f t="shared" ref="H395:H400" si="626">I384/H373</f>
        <v>#DIV/0!</v>
      </c>
      <c r="J395" s="228" t="s">
        <v>155</v>
      </c>
      <c r="K395" s="231" t="e">
        <f t="shared" ref="K395:K400" si="627">L384/K373</f>
        <v>#DIV/0!</v>
      </c>
      <c r="M395" s="228" t="s">
        <v>155</v>
      </c>
      <c r="N395" s="231" t="e">
        <f t="shared" ref="N395:N400" si="628">O384/N373</f>
        <v>#DIV/0!</v>
      </c>
      <c r="P395" s="228" t="s">
        <v>155</v>
      </c>
      <c r="Q395" s="231">
        <f t="shared" ref="Q395:Q400" si="629">R384/Q373</f>
        <v>0.90257010501327095</v>
      </c>
      <c r="S395" s="228" t="s">
        <v>155</v>
      </c>
      <c r="T395" s="231">
        <f t="shared" ref="T395:T400" si="630">U384/T373</f>
        <v>1</v>
      </c>
      <c r="V395" s="228" t="s">
        <v>155</v>
      </c>
      <c r="W395" s="231" t="e">
        <f t="shared" ref="W395:W400" si="631">X384/W373</f>
        <v>#DIV/0!</v>
      </c>
      <c r="Y395" s="228" t="s">
        <v>155</v>
      </c>
      <c r="Z395" s="231">
        <f t="shared" ref="Z395:Z400" si="632">AA384/Z373</f>
        <v>0.8686625</v>
      </c>
      <c r="AB395" s="228" t="s">
        <v>171</v>
      </c>
      <c r="AC395" s="231">
        <f t="shared" si="612"/>
        <v>0.52266128673982182</v>
      </c>
      <c r="AD395" s="304" t="s">
        <v>172</v>
      </c>
      <c r="AE395" s="228" t="s">
        <v>155</v>
      </c>
      <c r="AF395" s="231">
        <f>AG384/AF384</f>
        <v>1</v>
      </c>
      <c r="AH395" s="228" t="s">
        <v>155</v>
      </c>
      <c r="AI395" s="231">
        <f t="shared" si="614"/>
        <v>1.3787943066630559</v>
      </c>
      <c r="AK395" s="228" t="s">
        <v>155</v>
      </c>
      <c r="AL395" s="231">
        <f t="shared" si="615"/>
        <v>0</v>
      </c>
      <c r="AN395" s="228" t="s">
        <v>155</v>
      </c>
      <c r="AO395" s="231">
        <f t="shared" si="623"/>
        <v>0</v>
      </c>
      <c r="AQ395" s="228" t="s">
        <v>155</v>
      </c>
      <c r="AR395" s="231">
        <f t="shared" si="624"/>
        <v>0</v>
      </c>
      <c r="AT395" s="228" t="s">
        <v>155</v>
      </c>
      <c r="AU395" s="231" t="e">
        <f t="shared" si="625"/>
        <v>#DIV/0!</v>
      </c>
    </row>
    <row r="396" spans="7:61">
      <c r="G396" s="228" t="s">
        <v>156</v>
      </c>
      <c r="H396" s="231" t="e">
        <f t="shared" si="626"/>
        <v>#DIV/0!</v>
      </c>
      <c r="J396" s="228" t="s">
        <v>156</v>
      </c>
      <c r="K396" s="231" t="e">
        <f t="shared" si="627"/>
        <v>#DIV/0!</v>
      </c>
      <c r="M396" s="228" t="s">
        <v>156</v>
      </c>
      <c r="N396" s="231" t="e">
        <f t="shared" si="628"/>
        <v>#DIV/0!</v>
      </c>
      <c r="P396" s="228" t="s">
        <v>156</v>
      </c>
      <c r="Q396" s="231" t="e">
        <f t="shared" si="629"/>
        <v>#DIV/0!</v>
      </c>
      <c r="S396" s="228" t="s">
        <v>156</v>
      </c>
      <c r="T396" s="231" t="e">
        <f t="shared" si="630"/>
        <v>#DIV/0!</v>
      </c>
      <c r="V396" s="228" t="s">
        <v>156</v>
      </c>
      <c r="W396" s="231" t="e">
        <f t="shared" si="631"/>
        <v>#DIV/0!</v>
      </c>
      <c r="Y396" s="228" t="s">
        <v>156</v>
      </c>
      <c r="Z396" s="231" t="e">
        <f t="shared" si="632"/>
        <v>#DIV/0!</v>
      </c>
      <c r="AB396" s="228" t="s">
        <v>156</v>
      </c>
      <c r="AC396" s="231" t="e">
        <f t="shared" si="612"/>
        <v>#DIV/0!</v>
      </c>
      <c r="AE396" s="228" t="s">
        <v>156</v>
      </c>
      <c r="AF396" s="231" t="e">
        <f>AG385/AF374</f>
        <v>#DIV/0!</v>
      </c>
      <c r="AH396" s="228" t="s">
        <v>156</v>
      </c>
      <c r="AI396" s="231" t="e">
        <f t="shared" si="614"/>
        <v>#DIV/0!</v>
      </c>
      <c r="AK396" s="228" t="s">
        <v>156</v>
      </c>
      <c r="AL396" s="231" t="e">
        <f t="shared" si="615"/>
        <v>#DIV/0!</v>
      </c>
      <c r="AN396" s="228" t="s">
        <v>156</v>
      </c>
      <c r="AO396" s="231" t="e">
        <f>AP385/AO374</f>
        <v>#DIV/0!</v>
      </c>
      <c r="AQ396" s="228" t="s">
        <v>156</v>
      </c>
      <c r="AR396" s="231" t="e">
        <f>AS385/AR374</f>
        <v>#DIV/0!</v>
      </c>
      <c r="AT396" s="228" t="s">
        <v>156</v>
      </c>
      <c r="AU396" s="231" t="e">
        <f>AV385/AU374</f>
        <v>#DIV/0!</v>
      </c>
    </row>
    <row r="397" spans="7:61">
      <c r="G397" s="228" t="s">
        <v>88</v>
      </c>
      <c r="H397" s="231" t="e">
        <f t="shared" si="626"/>
        <v>#DIV/0!</v>
      </c>
      <c r="J397" s="228" t="s">
        <v>88</v>
      </c>
      <c r="K397" s="231" t="e">
        <f t="shared" si="627"/>
        <v>#DIV/0!</v>
      </c>
      <c r="M397" s="228" t="s">
        <v>88</v>
      </c>
      <c r="N397" s="231" t="e">
        <f t="shared" si="628"/>
        <v>#DIV/0!</v>
      </c>
      <c r="P397" s="228" t="s">
        <v>88</v>
      </c>
      <c r="Q397" s="231" t="e">
        <f t="shared" si="629"/>
        <v>#DIV/0!</v>
      </c>
      <c r="S397" s="228" t="s">
        <v>88</v>
      </c>
      <c r="T397" s="231">
        <f t="shared" si="630"/>
        <v>1</v>
      </c>
      <c r="V397" s="228" t="s">
        <v>88</v>
      </c>
      <c r="W397" s="231">
        <f t="shared" si="631"/>
        <v>1</v>
      </c>
      <c r="Y397" s="228" t="s">
        <v>88</v>
      </c>
      <c r="Z397" s="231">
        <f t="shared" si="632"/>
        <v>1</v>
      </c>
      <c r="AB397" s="228" t="s">
        <v>88</v>
      </c>
      <c r="AC397" s="231" t="e">
        <f t="shared" si="612"/>
        <v>#DIV/0!</v>
      </c>
      <c r="AE397" s="228" t="s">
        <v>88</v>
      </c>
      <c r="AF397" s="231">
        <f>AG386/AF386</f>
        <v>1</v>
      </c>
      <c r="AH397" s="228" t="s">
        <v>88</v>
      </c>
      <c r="AI397" s="231" t="e">
        <f t="shared" si="614"/>
        <v>#DIV/0!</v>
      </c>
      <c r="AK397" s="228" t="s">
        <v>88</v>
      </c>
      <c r="AL397" s="231" t="e">
        <f t="shared" si="615"/>
        <v>#DIV/0!</v>
      </c>
      <c r="AN397" s="228" t="s">
        <v>88</v>
      </c>
      <c r="AO397" s="231" t="e">
        <f>AP386/AO375</f>
        <v>#DIV/0!</v>
      </c>
      <c r="AQ397" s="228" t="s">
        <v>88</v>
      </c>
      <c r="AR397" s="231" t="e">
        <f>AS386/AR375</f>
        <v>#DIV/0!</v>
      </c>
      <c r="AT397" s="228" t="s">
        <v>88</v>
      </c>
      <c r="AU397" s="231" t="e">
        <f>AV386/AU375</f>
        <v>#DIV/0!</v>
      </c>
    </row>
    <row r="398" spans="7:61">
      <c r="G398" s="228" t="s">
        <v>80</v>
      </c>
      <c r="H398" s="231">
        <f t="shared" si="626"/>
        <v>1</v>
      </c>
      <c r="J398" s="228" t="s">
        <v>80</v>
      </c>
      <c r="K398" s="231">
        <f t="shared" si="627"/>
        <v>1</v>
      </c>
      <c r="M398" s="228" t="s">
        <v>80</v>
      </c>
      <c r="N398" s="231">
        <f t="shared" si="628"/>
        <v>1</v>
      </c>
      <c r="P398" s="228" t="s">
        <v>80</v>
      </c>
      <c r="Q398" s="231">
        <f t="shared" si="629"/>
        <v>1</v>
      </c>
      <c r="S398" s="228" t="s">
        <v>80</v>
      </c>
      <c r="T398" s="231">
        <f t="shared" si="630"/>
        <v>1</v>
      </c>
      <c r="V398" s="228" t="s">
        <v>80</v>
      </c>
      <c r="W398" s="231">
        <f t="shared" si="631"/>
        <v>1</v>
      </c>
      <c r="Y398" s="228" t="s">
        <v>80</v>
      </c>
      <c r="Z398" s="231">
        <f t="shared" si="632"/>
        <v>1</v>
      </c>
      <c r="AB398" s="228" t="s">
        <v>80</v>
      </c>
      <c r="AC398" s="231">
        <f t="shared" si="612"/>
        <v>1</v>
      </c>
      <c r="AE398" s="228" t="s">
        <v>80</v>
      </c>
      <c r="AF398" s="231">
        <f t="shared" si="613"/>
        <v>1</v>
      </c>
      <c r="AH398" s="228" t="s">
        <v>80</v>
      </c>
      <c r="AI398" s="231">
        <f t="shared" si="614"/>
        <v>1</v>
      </c>
      <c r="AK398" s="228" t="s">
        <v>80</v>
      </c>
      <c r="AL398" s="231">
        <f t="shared" si="615"/>
        <v>0</v>
      </c>
      <c r="AN398" s="228" t="s">
        <v>80</v>
      </c>
      <c r="AO398" s="231">
        <f>AP387/AO376</f>
        <v>0</v>
      </c>
      <c r="AQ398" s="228" t="s">
        <v>80</v>
      </c>
      <c r="AR398" s="231">
        <f>AS387/AR376</f>
        <v>0</v>
      </c>
      <c r="AT398" s="228" t="s">
        <v>80</v>
      </c>
      <c r="AU398" s="231">
        <f>AV387/AU376</f>
        <v>0</v>
      </c>
    </row>
    <row r="399" spans="7:61">
      <c r="G399" s="228" t="s">
        <v>30</v>
      </c>
      <c r="H399" s="231">
        <f t="shared" si="626"/>
        <v>1</v>
      </c>
      <c r="J399" s="228" t="s">
        <v>30</v>
      </c>
      <c r="K399" s="231">
        <f t="shared" si="627"/>
        <v>1</v>
      </c>
      <c r="M399" s="228" t="s">
        <v>30</v>
      </c>
      <c r="N399" s="231">
        <f t="shared" si="628"/>
        <v>1</v>
      </c>
      <c r="P399" s="228" t="s">
        <v>30</v>
      </c>
      <c r="Q399" s="231">
        <f t="shared" si="629"/>
        <v>1</v>
      </c>
      <c r="S399" s="228" t="s">
        <v>30</v>
      </c>
      <c r="T399" s="231">
        <f t="shared" si="630"/>
        <v>1</v>
      </c>
      <c r="V399" s="228" t="s">
        <v>30</v>
      </c>
      <c r="W399" s="231">
        <f t="shared" si="631"/>
        <v>1</v>
      </c>
      <c r="Y399" s="228" t="s">
        <v>30</v>
      </c>
      <c r="Z399" s="231">
        <f t="shared" si="632"/>
        <v>1</v>
      </c>
      <c r="AB399" s="228" t="s">
        <v>30</v>
      </c>
      <c r="AC399" s="231">
        <f t="shared" si="612"/>
        <v>0.96485500000000002</v>
      </c>
      <c r="AE399" s="228" t="s">
        <v>30</v>
      </c>
      <c r="AF399" s="231">
        <f t="shared" si="613"/>
        <v>1</v>
      </c>
      <c r="AH399" s="228" t="s">
        <v>30</v>
      </c>
      <c r="AI399" s="231">
        <f t="shared" si="614"/>
        <v>1</v>
      </c>
      <c r="AK399" s="228" t="s">
        <v>30</v>
      </c>
      <c r="AL399" s="231">
        <f t="shared" si="615"/>
        <v>0</v>
      </c>
      <c r="AN399" s="228" t="s">
        <v>30</v>
      </c>
      <c r="AO399" s="231">
        <f>AP388/AO377</f>
        <v>0</v>
      </c>
      <c r="AQ399" s="228" t="s">
        <v>30</v>
      </c>
      <c r="AR399" s="231">
        <f>AS388/AR377</f>
        <v>0</v>
      </c>
      <c r="AT399" s="228" t="s">
        <v>30</v>
      </c>
      <c r="AU399" s="231">
        <f>AV388/AU377</f>
        <v>0</v>
      </c>
    </row>
    <row r="400" spans="7:61">
      <c r="G400" s="228"/>
      <c r="H400" s="231" t="e">
        <f t="shared" si="626"/>
        <v>#DIV/0!</v>
      </c>
      <c r="J400" s="228"/>
      <c r="K400" s="231" t="e">
        <f t="shared" si="627"/>
        <v>#DIV/0!</v>
      </c>
      <c r="M400" s="228"/>
      <c r="N400" s="231" t="e">
        <f t="shared" si="628"/>
        <v>#DIV/0!</v>
      </c>
      <c r="P400" s="228"/>
      <c r="Q400" s="231" t="e">
        <f t="shared" si="629"/>
        <v>#DIV/0!</v>
      </c>
      <c r="S400" s="228"/>
      <c r="T400" s="231" t="e">
        <f t="shared" si="630"/>
        <v>#DIV/0!</v>
      </c>
      <c r="V400" s="228"/>
      <c r="W400" s="231" t="e">
        <f t="shared" si="631"/>
        <v>#DIV/0!</v>
      </c>
      <c r="Y400" s="228"/>
      <c r="Z400" s="231" t="e">
        <f t="shared" si="632"/>
        <v>#DIV/0!</v>
      </c>
      <c r="AB400" s="228"/>
      <c r="AC400" s="231" t="e">
        <f t="shared" si="612"/>
        <v>#DIV/0!</v>
      </c>
      <c r="AE400" s="228"/>
      <c r="AF400" s="231" t="e">
        <f>AG389/AF378</f>
        <v>#DIV/0!</v>
      </c>
      <c r="AH400" s="228"/>
      <c r="AI400" s="231" t="e">
        <f t="shared" si="614"/>
        <v>#DIV/0!</v>
      </c>
      <c r="AK400" s="228"/>
      <c r="AL400" s="231" t="e">
        <f t="shared" si="615"/>
        <v>#DIV/0!</v>
      </c>
      <c r="AN400" s="228"/>
      <c r="AO400" s="231" t="e">
        <f>AP389/AO378</f>
        <v>#DIV/0!</v>
      </c>
      <c r="AQ400" s="228"/>
      <c r="AR400" s="231" t="e">
        <f>AS389/AR378</f>
        <v>#DIV/0!</v>
      </c>
      <c r="AT400" s="228"/>
      <c r="AU400" s="231" t="e">
        <f>AV389/AU378</f>
        <v>#DIV/0!</v>
      </c>
    </row>
    <row r="402" spans="7:52" ht="28.9">
      <c r="G402" s="234" t="s">
        <v>173</v>
      </c>
      <c r="H402" s="235" t="s">
        <v>174</v>
      </c>
      <c r="I402" s="235" t="s">
        <v>175</v>
      </c>
      <c r="J402" s="234" t="s">
        <v>173</v>
      </c>
      <c r="K402" s="235" t="s">
        <v>174</v>
      </c>
      <c r="L402" s="235" t="s">
        <v>175</v>
      </c>
      <c r="M402" s="234" t="s">
        <v>173</v>
      </c>
      <c r="N402" s="235" t="s">
        <v>174</v>
      </c>
      <c r="O402" s="235" t="s">
        <v>175</v>
      </c>
      <c r="P402" s="234" t="s">
        <v>173</v>
      </c>
      <c r="Q402" s="235" t="s">
        <v>174</v>
      </c>
      <c r="R402" s="235" t="s">
        <v>175</v>
      </c>
      <c r="S402" s="234" t="s">
        <v>173</v>
      </c>
      <c r="T402" s="235" t="s">
        <v>174</v>
      </c>
      <c r="U402" s="235" t="s">
        <v>175</v>
      </c>
      <c r="V402" s="234" t="s">
        <v>173</v>
      </c>
      <c r="W402" s="235" t="s">
        <v>174</v>
      </c>
      <c r="X402" s="235" t="s">
        <v>175</v>
      </c>
      <c r="Y402" s="234" t="s">
        <v>173</v>
      </c>
      <c r="Z402" s="235" t="s">
        <v>174</v>
      </c>
      <c r="AA402" s="235" t="s">
        <v>175</v>
      </c>
      <c r="AB402" s="234" t="s">
        <v>173</v>
      </c>
      <c r="AC402" s="235" t="s">
        <v>174</v>
      </c>
      <c r="AD402" s="235" t="s">
        <v>175</v>
      </c>
      <c r="AE402" s="234" t="s">
        <v>173</v>
      </c>
      <c r="AF402" s="235" t="s">
        <v>174</v>
      </c>
      <c r="AG402" s="235" t="s">
        <v>175</v>
      </c>
      <c r="AH402" s="234" t="s">
        <v>173</v>
      </c>
      <c r="AI402" s="235" t="s">
        <v>174</v>
      </c>
      <c r="AJ402" s="235" t="s">
        <v>175</v>
      </c>
      <c r="AK402" s="234" t="s">
        <v>173</v>
      </c>
      <c r="AL402" s="235" t="s">
        <v>174</v>
      </c>
      <c r="AM402" s="236" t="s">
        <v>175</v>
      </c>
      <c r="AN402" s="234" t="s">
        <v>173</v>
      </c>
      <c r="AO402" s="235" t="s">
        <v>174</v>
      </c>
      <c r="AP402" s="236" t="s">
        <v>175</v>
      </c>
      <c r="AQ402" s="234" t="s">
        <v>173</v>
      </c>
      <c r="AR402" s="235" t="s">
        <v>174</v>
      </c>
      <c r="AS402" s="236" t="s">
        <v>175</v>
      </c>
      <c r="AT402" s="234" t="s">
        <v>173</v>
      </c>
      <c r="AU402" s="235" t="s">
        <v>174</v>
      </c>
      <c r="AV402" s="236" t="s">
        <v>175</v>
      </c>
      <c r="AX402" s="228" t="s">
        <v>173</v>
      </c>
      <c r="AY402" s="228" t="s">
        <v>176</v>
      </c>
      <c r="AZ402" s="228" t="s">
        <v>175</v>
      </c>
    </row>
    <row r="403" spans="7:52">
      <c r="G403" s="237" t="s">
        <v>177</v>
      </c>
      <c r="H403" s="56"/>
      <c r="I403" s="171">
        <f>H403/$H$408</f>
        <v>0</v>
      </c>
      <c r="J403" s="237" t="s">
        <v>177</v>
      </c>
      <c r="K403" s="56"/>
      <c r="L403" s="171">
        <f>K403/$K$408</f>
        <v>0</v>
      </c>
      <c r="M403" s="237" t="s">
        <v>177</v>
      </c>
      <c r="N403" s="56"/>
      <c r="O403" s="171">
        <f>N403/$N$408</f>
        <v>0</v>
      </c>
      <c r="P403" s="237" t="s">
        <v>177</v>
      </c>
      <c r="Q403" s="56">
        <f>SUM(P43:P51)</f>
        <v>283500</v>
      </c>
      <c r="R403" s="171">
        <f>Q403/$Q$408</f>
        <v>0.14029097387173398</v>
      </c>
      <c r="S403" s="237" t="s">
        <v>177</v>
      </c>
      <c r="T403" s="56">
        <f>SUM(S201:S211)</f>
        <v>90308</v>
      </c>
      <c r="U403" s="171">
        <f>T403/$T$408</f>
        <v>2.1211962487043177E-2</v>
      </c>
      <c r="V403" s="237" t="s">
        <v>177</v>
      </c>
      <c r="W403" s="56">
        <f>SUM(V43:V51)</f>
        <v>71720</v>
      </c>
      <c r="X403" s="171">
        <f>W403/$W$408</f>
        <v>1.4531841489461073E-2</v>
      </c>
      <c r="Y403" s="237" t="s">
        <v>177</v>
      </c>
      <c r="Z403" s="56">
        <f>SUM(Y201:Y211)</f>
        <v>240000</v>
      </c>
      <c r="AA403" s="171">
        <f>Z403/$Z$408</f>
        <v>3.8262383979284748E-2</v>
      </c>
      <c r="AB403" s="237" t="s">
        <v>177</v>
      </c>
      <c r="AC403" s="56">
        <f>SUM(AB43:AB51)</f>
        <v>2281764</v>
      </c>
      <c r="AD403" s="171">
        <f>AC403/$AC$408</f>
        <v>0.59908253701200709</v>
      </c>
      <c r="AE403" s="237" t="s">
        <v>177</v>
      </c>
      <c r="AF403" s="56"/>
      <c r="AG403" s="171">
        <f>AF403/$AF$408</f>
        <v>0</v>
      </c>
      <c r="AH403" s="237" t="s">
        <v>177</v>
      </c>
      <c r="AI403" s="56"/>
      <c r="AJ403" s="171">
        <f>AI403/$AI$408</f>
        <v>0</v>
      </c>
      <c r="AK403" s="237" t="s">
        <v>177</v>
      </c>
      <c r="AL403" s="56">
        <f>SUM(AK227:AK237)</f>
        <v>32000</v>
      </c>
      <c r="AM403" s="256">
        <f>AL403/$AL$408</f>
        <v>5.9281874196452722E-3</v>
      </c>
      <c r="AN403" s="237" t="s">
        <v>177</v>
      </c>
      <c r="AO403" s="56">
        <f>SUM(AN253:AN263)</f>
        <v>3082220</v>
      </c>
      <c r="AP403" s="256">
        <f>AO403/$AO$408</f>
        <v>0.62364333870197564</v>
      </c>
      <c r="AQ403" s="237" t="s">
        <v>177</v>
      </c>
      <c r="AR403" s="56">
        <f>SUM(AQ227:AQ237,AQ54:AQ64)</f>
        <v>2384460</v>
      </c>
      <c r="AS403" s="256">
        <f>AR403/$AR$408</f>
        <v>0.46359065687299988</v>
      </c>
      <c r="AT403" s="237" t="s">
        <v>177</v>
      </c>
      <c r="AU403" s="56"/>
      <c r="AV403" s="256">
        <f>AU403/$AR$408</f>
        <v>0</v>
      </c>
      <c r="AX403" s="145" t="s">
        <v>177</v>
      </c>
      <c r="AY403" s="144">
        <f>SUM(H403,K403,N403,Q403,T403,W403,Z403,AC403,AF403,AI403,AL403,AO403,AR403,AU403)</f>
        <v>8465972</v>
      </c>
      <c r="AZ403" s="231">
        <f>AY403/$AY$408</f>
        <v>0.15321952737030858</v>
      </c>
    </row>
    <row r="404" spans="7:52">
      <c r="G404" s="237" t="s">
        <v>178</v>
      </c>
      <c r="H404" s="56"/>
      <c r="I404" s="171">
        <f t="shared" ref="I404:I407" si="633">H404/$H$408</f>
        <v>0</v>
      </c>
      <c r="J404" s="237" t="s">
        <v>178</v>
      </c>
      <c r="K404" s="56">
        <f>SUM(J115:J124)</f>
        <v>3876556</v>
      </c>
      <c r="L404" s="171">
        <f t="shared" ref="L404:L407" si="634">K404/$K$408</f>
        <v>0.92220872042622959</v>
      </c>
      <c r="M404" s="237" t="s">
        <v>178</v>
      </c>
      <c r="N404" s="56">
        <f>SUM(M102:M112,M163:M173)</f>
        <v>587480</v>
      </c>
      <c r="O404" s="171">
        <f t="shared" ref="O404:O407" si="635">N404/$N$408</f>
        <v>0.6424197358061412</v>
      </c>
      <c r="P404" s="237" t="s">
        <v>178</v>
      </c>
      <c r="Q404" s="56">
        <f>SUM(P90:P99,P102:P112,P115:P124)</f>
        <v>1026153</v>
      </c>
      <c r="R404" s="171">
        <f t="shared" ref="R404:R407" si="636">Q404/$Q$408</f>
        <v>0.5077954275534442</v>
      </c>
      <c r="S404" s="237" t="s">
        <v>178</v>
      </c>
      <c r="T404" s="56">
        <f>SUM(S78:S87,S102:S112,S163:S173)</f>
        <v>3178869</v>
      </c>
      <c r="U404" s="171">
        <f t="shared" ref="U404:U407" si="637">T404/$T$408</f>
        <v>0.74666751538318255</v>
      </c>
      <c r="V404" s="237" t="s">
        <v>178</v>
      </c>
      <c r="W404" s="56">
        <f>SUM(V102:V112,V163:V173)</f>
        <v>4063981</v>
      </c>
      <c r="X404" s="171">
        <f t="shared" ref="X404:X407" si="638">W404/$W$408</f>
        <v>0.82344015209399746</v>
      </c>
      <c r="Y404" s="237" t="s">
        <v>178</v>
      </c>
      <c r="Z404" s="56">
        <f>SUM(Y78:Y87,Y102:Y112,Y115:Y124,Y163:Y173)</f>
        <v>3327293</v>
      </c>
      <c r="AA404" s="171">
        <f t="shared" ref="AA404:AA407" si="639">Z404/$Z$408</f>
        <v>0.53045900990660955</v>
      </c>
      <c r="AB404" s="237" t="s">
        <v>178</v>
      </c>
      <c r="AC404" s="56">
        <f>SUM(AB90:AB99,AB115:AB124)</f>
        <v>1200000</v>
      </c>
      <c r="AD404" s="171">
        <f t="shared" ref="AD404:AD407" si="640">AC404/$AC$408</f>
        <v>0.31506283928329504</v>
      </c>
      <c r="AE404" s="237" t="s">
        <v>178</v>
      </c>
      <c r="AF404" s="56">
        <f>SUM(AE67:AE75,AE115:AE124,AE127:AE136,AE139:AE148,AE151:AE160)</f>
        <v>69815</v>
      </c>
      <c r="AG404" s="171">
        <f t="shared" ref="AG404:AG407" si="641">AF404/$AF$408</f>
        <v>0.17593840958633117</v>
      </c>
      <c r="AH404" s="237" t="s">
        <v>178</v>
      </c>
      <c r="AI404" s="56">
        <f>SUM(AH90:AH99,AH67:AH75)</f>
        <v>6560319</v>
      </c>
      <c r="AJ404" s="171">
        <f t="shared" ref="AJ404:AJ407" si="642">AI404/$AI$408</f>
        <v>0.95252143831293423</v>
      </c>
      <c r="AK404" s="237" t="s">
        <v>178</v>
      </c>
      <c r="AL404" s="56">
        <f>SUM(AK67:AK75,AK127:AK136,AK139:AK148,AK151:AK160,AK318:AK328)</f>
        <v>4636000</v>
      </c>
      <c r="AM404" s="256">
        <f t="shared" ref="AM404:AM407" si="643">AL404/$AL$408</f>
        <v>0.85884615242110884</v>
      </c>
      <c r="AN404" s="237" t="s">
        <v>178</v>
      </c>
      <c r="AO404" s="56">
        <f>SUM(AN67:AN75,AN151:AN160,AN318:AN328,AN19:AN28)</f>
        <v>500000</v>
      </c>
      <c r="AP404" s="256">
        <f t="shared" ref="AP404:AP407" si="644">AO404/$AO$408</f>
        <v>0.10116788203015613</v>
      </c>
      <c r="AQ404" s="237" t="s">
        <v>178</v>
      </c>
      <c r="AR404" s="56">
        <f>SUM(AQ139:AQ148,AQ151:AQ160,AQ67:AQ75,AQ19:AQ28)</f>
        <v>2432000</v>
      </c>
      <c r="AS404" s="256">
        <f t="shared" ref="AS404:AS407" si="645">AR404/$AR$408</f>
        <v>0.47283346229969708</v>
      </c>
      <c r="AT404" s="237" t="s">
        <v>178</v>
      </c>
      <c r="AU404" s="56">
        <f>SUM(AT139:AT148,AT151:AT160,AT19:AT28)</f>
        <v>939200</v>
      </c>
      <c r="AV404" s="256">
        <f>AU404/$AU$408</f>
        <v>0.16344714768020605</v>
      </c>
      <c r="AX404" s="145" t="s">
        <v>178</v>
      </c>
      <c r="AY404" s="144">
        <f t="shared" ref="AY404:AY407" si="646">SUM(H404,K404,N404,Q404,T404,W404,Z404,AC404,AF404,AI404,AL404,AO404,AR404,AU404)</f>
        <v>32397666</v>
      </c>
      <c r="AZ404" s="231">
        <f t="shared" ref="AZ404:AZ407" si="647">AY404/$AY$408</f>
        <v>0.58634201393781082</v>
      </c>
    </row>
    <row r="405" spans="7:52">
      <c r="G405" s="237" t="s">
        <v>179</v>
      </c>
      <c r="H405" s="56"/>
      <c r="I405" s="171">
        <f t="shared" si="633"/>
        <v>0</v>
      </c>
      <c r="J405" s="237" t="s">
        <v>179</v>
      </c>
      <c r="K405" s="56"/>
      <c r="L405" s="171">
        <f t="shared" si="634"/>
        <v>0</v>
      </c>
      <c r="M405" s="237" t="s">
        <v>179</v>
      </c>
      <c r="N405" s="56"/>
      <c r="O405" s="171">
        <f t="shared" si="635"/>
        <v>0</v>
      </c>
      <c r="P405" s="237" t="s">
        <v>179</v>
      </c>
      <c r="Q405" s="56">
        <f>SUM(P31:P40)</f>
        <v>384147</v>
      </c>
      <c r="R405" s="171">
        <f t="shared" si="636"/>
        <v>0.19009649643705462</v>
      </c>
      <c r="S405" s="237" t="s">
        <v>179</v>
      </c>
      <c r="T405" s="56">
        <f>SUM(S31:S40,S305:S315)</f>
        <v>390308</v>
      </c>
      <c r="U405" s="171">
        <f t="shared" si="637"/>
        <v>9.1677355875369265E-2</v>
      </c>
      <c r="V405" s="237" t="s">
        <v>179</v>
      </c>
      <c r="W405" s="56">
        <f>SUM(V305:V315)</f>
        <v>352671</v>
      </c>
      <c r="X405" s="171">
        <f t="shared" si="638"/>
        <v>7.1457878833375982E-2</v>
      </c>
      <c r="Y405" s="237" t="s">
        <v>179</v>
      </c>
      <c r="Z405" s="56">
        <f>SUM(Y31:Y40,Y305:Y315)</f>
        <v>1803440</v>
      </c>
      <c r="AA405" s="171">
        <f t="shared" si="639"/>
        <v>0.28751630734833866</v>
      </c>
      <c r="AB405" s="237" t="s">
        <v>179</v>
      </c>
      <c r="AC405" s="56">
        <f>SUM(AB31:AB40)</f>
        <v>0</v>
      </c>
      <c r="AD405" s="171">
        <f t="shared" si="640"/>
        <v>0</v>
      </c>
      <c r="AE405" s="237" t="s">
        <v>179</v>
      </c>
      <c r="AF405" s="56"/>
      <c r="AG405" s="171">
        <f t="shared" si="641"/>
        <v>0</v>
      </c>
      <c r="AH405" s="237" t="s">
        <v>179</v>
      </c>
      <c r="AI405" s="56"/>
      <c r="AJ405" s="171">
        <f t="shared" si="642"/>
        <v>0</v>
      </c>
      <c r="AK405" s="237" t="s">
        <v>179</v>
      </c>
      <c r="AL405" s="56">
        <f>SUM(AK331:AK341,AK292:AK302)</f>
        <v>402940</v>
      </c>
      <c r="AM405" s="256">
        <f t="shared" si="643"/>
        <v>7.4646994964745805E-2</v>
      </c>
      <c r="AN405" s="237" t="s">
        <v>179</v>
      </c>
      <c r="AO405" s="56">
        <f>SUM(AN331:AN341,AN292:AN302)</f>
        <v>1033060</v>
      </c>
      <c r="AP405" s="256">
        <f t="shared" si="644"/>
        <v>0.20902498442014616</v>
      </c>
      <c r="AQ405" s="237" t="s">
        <v>179</v>
      </c>
      <c r="AR405" s="56">
        <f>SUM(AQ331:AQ341)</f>
        <v>0</v>
      </c>
      <c r="AS405" s="256">
        <f t="shared" si="645"/>
        <v>0</v>
      </c>
      <c r="AT405" s="237" t="s">
        <v>179</v>
      </c>
      <c r="AU405" s="56">
        <f>SUM(AT331:AT341,AT292:AT302)</f>
        <v>4480000</v>
      </c>
      <c r="AV405" s="256">
        <f t="shared" ref="AV405:AV407" si="648">AU405/$AR$408</f>
        <v>0.87100900949944204</v>
      </c>
      <c r="AX405" s="145" t="s">
        <v>179</v>
      </c>
      <c r="AY405" s="144">
        <f t="shared" si="646"/>
        <v>8846566</v>
      </c>
      <c r="AZ405" s="231">
        <f t="shared" si="647"/>
        <v>0.16010762395271816</v>
      </c>
    </row>
    <row r="406" spans="7:52">
      <c r="G406" s="237" t="s">
        <v>180</v>
      </c>
      <c r="H406" s="56"/>
      <c r="I406" s="171">
        <f t="shared" si="633"/>
        <v>0</v>
      </c>
      <c r="J406" s="237" t="s">
        <v>180</v>
      </c>
      <c r="K406" s="56"/>
      <c r="L406" s="171">
        <f t="shared" si="634"/>
        <v>0</v>
      </c>
      <c r="M406" s="237" t="s">
        <v>180</v>
      </c>
      <c r="N406" s="56"/>
      <c r="O406" s="171">
        <f t="shared" si="635"/>
        <v>0</v>
      </c>
      <c r="P406" s="237" t="s">
        <v>180</v>
      </c>
      <c r="Q406" s="56"/>
      <c r="R406" s="171">
        <f t="shared" si="636"/>
        <v>0</v>
      </c>
      <c r="S406" s="237" t="s">
        <v>180</v>
      </c>
      <c r="T406" s="56">
        <f>SUM(S188:S198,S214:S224,S279:S289)</f>
        <v>270924</v>
      </c>
      <c r="U406" s="171">
        <f t="shared" si="637"/>
        <v>6.3635887461129526E-2</v>
      </c>
      <c r="V406" s="237" t="s">
        <v>180</v>
      </c>
      <c r="W406" s="56">
        <f>SUM(V214:V224)</f>
        <v>119997</v>
      </c>
      <c r="X406" s="171">
        <f t="shared" si="638"/>
        <v>2.4313683536124654E-2</v>
      </c>
      <c r="Y406" s="237" t="s">
        <v>180</v>
      </c>
      <c r="Z406" s="56">
        <f>SUM(Y188:Y198,Y279:Y289)</f>
        <v>574746</v>
      </c>
      <c r="AA406" s="171">
        <f t="shared" si="639"/>
        <v>9.1629800593991631E-2</v>
      </c>
      <c r="AB406" s="237" t="s">
        <v>180</v>
      </c>
      <c r="AC406" s="56"/>
      <c r="AD406" s="171">
        <f t="shared" si="640"/>
        <v>0</v>
      </c>
      <c r="AE406" s="237" t="s">
        <v>180</v>
      </c>
      <c r="AF406" s="56"/>
      <c r="AG406" s="171">
        <f t="shared" si="641"/>
        <v>0</v>
      </c>
      <c r="AH406" s="237" t="s">
        <v>180</v>
      </c>
      <c r="AI406" s="56"/>
      <c r="AJ406" s="171">
        <f t="shared" si="642"/>
        <v>0</v>
      </c>
      <c r="AK406" s="237" t="s">
        <v>180</v>
      </c>
      <c r="AL406" s="56"/>
      <c r="AM406" s="256">
        <f t="shared" si="643"/>
        <v>0</v>
      </c>
      <c r="AN406" s="237" t="s">
        <v>180</v>
      </c>
      <c r="AO406" s="56"/>
      <c r="AP406" s="256">
        <f t="shared" si="644"/>
        <v>0</v>
      </c>
      <c r="AQ406" s="237" t="s">
        <v>180</v>
      </c>
      <c r="AR406" s="56"/>
      <c r="AS406" s="256">
        <f t="shared" si="645"/>
        <v>0</v>
      </c>
      <c r="AT406" s="237" t="s">
        <v>180</v>
      </c>
      <c r="AU406" s="56"/>
      <c r="AV406" s="256">
        <f t="shared" si="648"/>
        <v>0</v>
      </c>
      <c r="AX406" s="145" t="s">
        <v>180</v>
      </c>
      <c r="AY406" s="144">
        <f>SUM(H406,K406,N406,Q406,T406,W406,Z406,AC406,AF406,AI406,AL406,AO406,AR406,AU406)</f>
        <v>965667</v>
      </c>
      <c r="AZ406" s="231">
        <f t="shared" si="647"/>
        <v>1.7476911255683788E-2</v>
      </c>
    </row>
    <row r="407" spans="7:52">
      <c r="G407" s="239" t="s">
        <v>41</v>
      </c>
      <c r="H407" s="241">
        <f>SUM(G7:G16,G176:G185)</f>
        <v>327000</v>
      </c>
      <c r="I407" s="171">
        <f t="shared" si="633"/>
        <v>1</v>
      </c>
      <c r="J407" s="239" t="s">
        <v>41</v>
      </c>
      <c r="K407" s="241">
        <f>SUM(J7:J16,J176:J185)</f>
        <v>327000</v>
      </c>
      <c r="L407" s="171">
        <f t="shared" si="634"/>
        <v>7.7791279573770397E-2</v>
      </c>
      <c r="M407" s="239" t="s">
        <v>41</v>
      </c>
      <c r="N407" s="241">
        <f>SUM(M7:M16,M176:M185)</f>
        <v>327000</v>
      </c>
      <c r="O407" s="171">
        <f t="shared" si="635"/>
        <v>0.3575802641938588</v>
      </c>
      <c r="P407" s="239" t="s">
        <v>41</v>
      </c>
      <c r="Q407" s="241">
        <f>SUM(P7:P16,P176:P185)</f>
        <v>327000</v>
      </c>
      <c r="R407" s="171">
        <f t="shared" si="636"/>
        <v>0.16181710213776723</v>
      </c>
      <c r="S407" s="239" t="s">
        <v>41</v>
      </c>
      <c r="T407" s="241">
        <f>SUM(S7:S16,S176:S185)</f>
        <v>327000</v>
      </c>
      <c r="U407" s="171">
        <f t="shared" si="637"/>
        <v>7.6807278793275438E-2</v>
      </c>
      <c r="V407" s="239" t="s">
        <v>41</v>
      </c>
      <c r="W407" s="241">
        <f>SUM(V7:V16,V176:V185)</f>
        <v>327000</v>
      </c>
      <c r="X407" s="171">
        <f t="shared" si="638"/>
        <v>6.6256444047040855E-2</v>
      </c>
      <c r="Y407" s="239" t="s">
        <v>41</v>
      </c>
      <c r="Z407" s="241">
        <f>SUM(Y7:Y16,Y176:Y185)</f>
        <v>327000</v>
      </c>
      <c r="AA407" s="171">
        <f t="shared" si="639"/>
        <v>5.2132498171775468E-2</v>
      </c>
      <c r="AB407" s="239" t="s">
        <v>41</v>
      </c>
      <c r="AC407" s="241">
        <f>SUM(AB7:AB16,AB176:AB185)</f>
        <v>327000</v>
      </c>
      <c r="AD407" s="171">
        <f t="shared" si="640"/>
        <v>8.5854623704697902E-2</v>
      </c>
      <c r="AE407" s="239" t="s">
        <v>41</v>
      </c>
      <c r="AF407" s="241">
        <f>SUM(AE7:AE16,AE176:AE185)</f>
        <v>327000</v>
      </c>
      <c r="AG407" s="171">
        <f t="shared" si="641"/>
        <v>0.82406159041366889</v>
      </c>
      <c r="AH407" s="239" t="s">
        <v>41</v>
      </c>
      <c r="AI407" s="241">
        <f>SUM(AH7:AH16,AH176:AH185)</f>
        <v>327000</v>
      </c>
      <c r="AJ407" s="171">
        <f t="shared" si="642"/>
        <v>4.7478561687065754E-2</v>
      </c>
      <c r="AK407" s="239" t="s">
        <v>41</v>
      </c>
      <c r="AL407" s="241">
        <f>SUM(AK7:AK16,AK176:AK185)</f>
        <v>327000</v>
      </c>
      <c r="AM407" s="256">
        <f t="shared" si="643"/>
        <v>6.0578665194500121E-2</v>
      </c>
      <c r="AN407" s="239" t="s">
        <v>41</v>
      </c>
      <c r="AO407" s="241">
        <f>SUM(AN7:AN16,AN176:AN185)</f>
        <v>327000</v>
      </c>
      <c r="AP407" s="256">
        <f t="shared" si="644"/>
        <v>6.6163794847722099E-2</v>
      </c>
      <c r="AQ407" s="239" t="s">
        <v>41</v>
      </c>
      <c r="AR407" s="241">
        <f>SUM(AQ7:AQ16,AQ176:AQ185)</f>
        <v>327000</v>
      </c>
      <c r="AS407" s="256">
        <f t="shared" si="645"/>
        <v>6.3575880827303019E-2</v>
      </c>
      <c r="AT407" s="239" t="s">
        <v>41</v>
      </c>
      <c r="AU407" s="241">
        <f>SUM(AT7:AT16,AT176:AT185)</f>
        <v>327000</v>
      </c>
      <c r="AV407" s="256">
        <f t="shared" si="648"/>
        <v>6.3575880827303019E-2</v>
      </c>
      <c r="AX407" s="265" t="s">
        <v>41</v>
      </c>
      <c r="AY407" s="144">
        <f t="shared" si="646"/>
        <v>4578000</v>
      </c>
      <c r="AZ407" s="231">
        <f t="shared" si="647"/>
        <v>8.2853923483478656E-2</v>
      </c>
    </row>
    <row r="408" spans="7:52">
      <c r="G408" t="s">
        <v>181</v>
      </c>
      <c r="H408" s="56">
        <f>SUM(H403:H407)</f>
        <v>327000</v>
      </c>
      <c r="I408" s="171"/>
      <c r="J408" t="s">
        <v>181</v>
      </c>
      <c r="K408" s="56">
        <f>SUM(K403:K407)</f>
        <v>4203556</v>
      </c>
      <c r="L408" s="171"/>
      <c r="M408" t="s">
        <v>181</v>
      </c>
      <c r="N408" s="56">
        <f>SUM(N403:N407)</f>
        <v>914480</v>
      </c>
      <c r="O408" s="171"/>
      <c r="P408" t="s">
        <v>181</v>
      </c>
      <c r="Q408" s="56">
        <f>SUM(Q403:Q407)</f>
        <v>2020800</v>
      </c>
      <c r="R408" s="171"/>
      <c r="S408" t="s">
        <v>181</v>
      </c>
      <c r="T408" s="56">
        <f>SUM(T403:T407)</f>
        <v>4257409</v>
      </c>
      <c r="U408" s="171"/>
      <c r="V408" t="s">
        <v>181</v>
      </c>
      <c r="W408" s="56">
        <f>SUM(W403:W407)</f>
        <v>4935369</v>
      </c>
      <c r="X408" s="171"/>
      <c r="Y408" t="s">
        <v>181</v>
      </c>
      <c r="Z408" s="56">
        <f>SUM(Z403:Z407)</f>
        <v>6272479</v>
      </c>
      <c r="AA408" s="171"/>
      <c r="AB408" t="s">
        <v>181</v>
      </c>
      <c r="AC408" s="56">
        <f>SUM(AC403:AC407)</f>
        <v>3808764</v>
      </c>
      <c r="AD408" s="171"/>
      <c r="AE408" t="s">
        <v>181</v>
      </c>
      <c r="AF408" s="56">
        <f>SUM(AF403:AF407)</f>
        <v>396815</v>
      </c>
      <c r="AG408" s="171"/>
      <c r="AH408" t="s">
        <v>181</v>
      </c>
      <c r="AI408" s="56">
        <f>SUM(AI403:AI407)</f>
        <v>6887319</v>
      </c>
      <c r="AJ408" s="171"/>
      <c r="AK408" t="s">
        <v>181</v>
      </c>
      <c r="AL408" s="56">
        <f>SUM(AL403:AL407)</f>
        <v>5397940</v>
      </c>
      <c r="AM408" s="171"/>
      <c r="AN408" t="s">
        <v>181</v>
      </c>
      <c r="AO408" s="56">
        <f>SUM(AO403:AO407)</f>
        <v>4942280</v>
      </c>
      <c r="AP408" s="171"/>
      <c r="AQ408" t="s">
        <v>181</v>
      </c>
      <c r="AR408" s="56">
        <f>SUM(AR403:AR407)</f>
        <v>5143460</v>
      </c>
      <c r="AS408" s="171"/>
      <c r="AT408" t="s">
        <v>181</v>
      </c>
      <c r="AU408" s="56">
        <f>SUM(AU403:AU407)</f>
        <v>5746200</v>
      </c>
      <c r="AV408" s="171"/>
      <c r="AX408" s="251" t="s">
        <v>181</v>
      </c>
      <c r="AY408" s="262">
        <f>SUM(AY403:AY407)</f>
        <v>55253871</v>
      </c>
      <c r="AZ408" s="263">
        <f>SUM(AZ403:AZ407)</f>
        <v>0.99999999999999989</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4" t="s">
        <v>173</v>
      </c>
      <c r="H410" s="235" t="s">
        <v>182</v>
      </c>
      <c r="I410" s="236" t="s">
        <v>183</v>
      </c>
      <c r="J410" s="234" t="s">
        <v>173</v>
      </c>
      <c r="K410" s="235" t="s">
        <v>182</v>
      </c>
      <c r="L410" s="236" t="s">
        <v>183</v>
      </c>
      <c r="M410" s="234" t="s">
        <v>173</v>
      </c>
      <c r="N410" s="235" t="s">
        <v>182</v>
      </c>
      <c r="O410" s="236" t="s">
        <v>183</v>
      </c>
      <c r="P410" s="234" t="s">
        <v>173</v>
      </c>
      <c r="Q410" s="235" t="s">
        <v>182</v>
      </c>
      <c r="R410" s="236" t="s">
        <v>183</v>
      </c>
      <c r="S410" s="234" t="s">
        <v>173</v>
      </c>
      <c r="T410" s="235" t="s">
        <v>182</v>
      </c>
      <c r="U410" s="236" t="s">
        <v>183</v>
      </c>
      <c r="V410" s="234" t="s">
        <v>173</v>
      </c>
      <c r="W410" s="235" t="s">
        <v>182</v>
      </c>
      <c r="X410" s="236" t="s">
        <v>183</v>
      </c>
      <c r="Y410" s="234" t="s">
        <v>173</v>
      </c>
      <c r="Z410" s="235" t="s">
        <v>182</v>
      </c>
      <c r="AA410" s="236" t="s">
        <v>183</v>
      </c>
      <c r="AB410" s="234" t="s">
        <v>173</v>
      </c>
      <c r="AC410" s="235" t="s">
        <v>182</v>
      </c>
      <c r="AD410" s="236" t="s">
        <v>183</v>
      </c>
      <c r="AE410" s="235" t="s">
        <v>173</v>
      </c>
      <c r="AF410" s="235" t="s">
        <v>182</v>
      </c>
      <c r="AG410" s="236" t="s">
        <v>183</v>
      </c>
      <c r="AH410" s="235" t="s">
        <v>173</v>
      </c>
      <c r="AI410" s="235" t="s">
        <v>182</v>
      </c>
      <c r="AJ410" s="236" t="s">
        <v>183</v>
      </c>
      <c r="AK410" s="235" t="s">
        <v>173</v>
      </c>
      <c r="AL410" s="235" t="s">
        <v>182</v>
      </c>
      <c r="AM410" s="236" t="s">
        <v>183</v>
      </c>
      <c r="AN410" s="235" t="s">
        <v>173</v>
      </c>
      <c r="AO410" s="235" t="s">
        <v>182</v>
      </c>
      <c r="AP410" s="236" t="s">
        <v>183</v>
      </c>
      <c r="AQ410" s="235" t="s">
        <v>173</v>
      </c>
      <c r="AR410" s="235" t="s">
        <v>182</v>
      </c>
      <c r="AS410" s="236" t="s">
        <v>183</v>
      </c>
      <c r="AT410" s="235" t="s">
        <v>173</v>
      </c>
      <c r="AU410" s="235" t="s">
        <v>182</v>
      </c>
      <c r="AV410" s="236" t="s">
        <v>183</v>
      </c>
      <c r="AX410" s="228" t="s">
        <v>173</v>
      </c>
      <c r="AY410" s="228" t="s">
        <v>184</v>
      </c>
      <c r="AZ410" s="228" t="s">
        <v>183</v>
      </c>
    </row>
    <row r="411" spans="7:52">
      <c r="G411" s="237" t="s">
        <v>177</v>
      </c>
      <c r="I411" s="256">
        <f>H411/$H$416</f>
        <v>0</v>
      </c>
      <c r="J411" s="237" t="s">
        <v>177</v>
      </c>
      <c r="L411" s="256">
        <f>K411/$K$416</f>
        <v>0</v>
      </c>
      <c r="M411" s="237" t="s">
        <v>177</v>
      </c>
      <c r="O411" s="256">
        <f>N411/$N$416</f>
        <v>0</v>
      </c>
      <c r="P411" s="237" t="s">
        <v>177</v>
      </c>
      <c r="Q411">
        <v>1</v>
      </c>
      <c r="R411" s="256">
        <f>Q411/$Q$416</f>
        <v>0.14285714285714285</v>
      </c>
      <c r="S411" s="237" t="s">
        <v>177</v>
      </c>
      <c r="T411">
        <v>1</v>
      </c>
      <c r="U411" s="256">
        <f>T411/$T$416</f>
        <v>9.0909090909090912E-2</v>
      </c>
      <c r="V411" s="237" t="s">
        <v>177</v>
      </c>
      <c r="W411">
        <v>1</v>
      </c>
      <c r="X411" s="256">
        <f>W411/$W$416</f>
        <v>0.14285714285714285</v>
      </c>
      <c r="Y411" s="237" t="s">
        <v>177</v>
      </c>
      <c r="Z411">
        <v>1</v>
      </c>
      <c r="AA411" s="256">
        <f>Z411/$Z$416</f>
        <v>9.0909090909090912E-2</v>
      </c>
      <c r="AB411" s="237" t="s">
        <v>177</v>
      </c>
      <c r="AC411">
        <v>1</v>
      </c>
      <c r="AD411" s="256">
        <f>AC411/$AC$416</f>
        <v>0.16666666666666666</v>
      </c>
      <c r="AE411" s="237" t="s">
        <v>177</v>
      </c>
      <c r="AG411" s="256">
        <f>AF411/$AF$416</f>
        <v>0</v>
      </c>
      <c r="AH411" s="237" t="s">
        <v>177</v>
      </c>
      <c r="AJ411" s="256">
        <f>AI411/$AI$416</f>
        <v>0</v>
      </c>
      <c r="AK411" s="237" t="s">
        <v>177</v>
      </c>
      <c r="AL411">
        <v>1</v>
      </c>
      <c r="AM411" s="256">
        <f>AL411/$AL$416</f>
        <v>0.125</v>
      </c>
      <c r="AN411" s="237" t="s">
        <v>177</v>
      </c>
      <c r="AO411">
        <v>2</v>
      </c>
      <c r="AP411" s="256">
        <f>AO411/$AO$416</f>
        <v>0.33333333333333331</v>
      </c>
      <c r="AQ411" s="237" t="s">
        <v>177</v>
      </c>
      <c r="AR411">
        <v>3</v>
      </c>
      <c r="AS411" s="256">
        <f>AR411/$AR$416</f>
        <v>0.375</v>
      </c>
      <c r="AT411" s="237" t="s">
        <v>177</v>
      </c>
      <c r="AV411" s="256">
        <f>AU411/$AR$416</f>
        <v>0</v>
      </c>
      <c r="AX411" s="145" t="s">
        <v>177</v>
      </c>
      <c r="AY411" s="145">
        <f>SUM(H411,K411,N411,Q411,T411,W411,Z411,AC411,AF411,AI411,AL411,AO411,AR411,AU411)</f>
        <v>11</v>
      </c>
      <c r="AZ411" s="231">
        <f>AY411/$AY$416</f>
        <v>0.12222222222222222</v>
      </c>
    </row>
    <row r="412" spans="7:52">
      <c r="G412" s="237" t="s">
        <v>178</v>
      </c>
      <c r="I412" s="256">
        <f t="shared" ref="I412:I415" si="649">H412/$H$416</f>
        <v>0</v>
      </c>
      <c r="J412" s="237" t="s">
        <v>178</v>
      </c>
      <c r="K412">
        <v>1</v>
      </c>
      <c r="L412" s="256">
        <f t="shared" ref="L412:L415" si="650">K412/$K$416</f>
        <v>0.33333333333333331</v>
      </c>
      <c r="M412" s="237" t="s">
        <v>178</v>
      </c>
      <c r="N412">
        <v>2</v>
      </c>
      <c r="O412" s="256">
        <f t="shared" ref="O412:O415" si="651">N412/$N$416</f>
        <v>0.5</v>
      </c>
      <c r="P412" s="237" t="s">
        <v>178</v>
      </c>
      <c r="Q412">
        <v>3</v>
      </c>
      <c r="R412" s="256">
        <f t="shared" ref="R412:R415" si="652">Q412/$Q$416</f>
        <v>0.42857142857142855</v>
      </c>
      <c r="S412" s="237" t="s">
        <v>178</v>
      </c>
      <c r="T412">
        <v>3</v>
      </c>
      <c r="U412" s="256">
        <f t="shared" ref="U412:U415" si="653">T412/$T$416</f>
        <v>0.27272727272727271</v>
      </c>
      <c r="V412" s="237" t="s">
        <v>178</v>
      </c>
      <c r="W412">
        <v>2</v>
      </c>
      <c r="X412" s="256">
        <f t="shared" ref="X412:X415" si="654">W412/$W$416</f>
        <v>0.2857142857142857</v>
      </c>
      <c r="Y412" s="237" t="s">
        <v>178</v>
      </c>
      <c r="Z412">
        <v>4</v>
      </c>
      <c r="AA412" s="256">
        <f t="shared" ref="AA412:AA415" si="655">Z412/$Z$416</f>
        <v>0.36363636363636365</v>
      </c>
      <c r="AB412" s="237" t="s">
        <v>178</v>
      </c>
      <c r="AC412">
        <v>2</v>
      </c>
      <c r="AD412" s="256">
        <f t="shared" ref="AD412:AD415" si="656">AC412/$AC$416</f>
        <v>0.33333333333333331</v>
      </c>
      <c r="AE412" s="237" t="s">
        <v>178</v>
      </c>
      <c r="AF412">
        <v>5</v>
      </c>
      <c r="AG412" s="256">
        <f t="shared" ref="AG412:AG415" si="657">AF412/$AF$416</f>
        <v>0.7142857142857143</v>
      </c>
      <c r="AH412" s="237" t="s">
        <v>178</v>
      </c>
      <c r="AI412">
        <v>2</v>
      </c>
      <c r="AJ412" s="256">
        <f t="shared" ref="AJ412:AJ415" si="658">AI412/$AI$416</f>
        <v>0.5</v>
      </c>
      <c r="AK412" s="237" t="s">
        <v>178</v>
      </c>
      <c r="AL412">
        <v>4</v>
      </c>
      <c r="AM412" s="256">
        <f t="shared" ref="AM412:AM415" si="659">AL412/$AL$416</f>
        <v>0.5</v>
      </c>
      <c r="AN412" s="237" t="s">
        <v>178</v>
      </c>
      <c r="AO412">
        <v>1</v>
      </c>
      <c r="AP412" s="256">
        <f t="shared" ref="AP412:AP415" si="660">AO412/$AO$416</f>
        <v>0.16666666666666666</v>
      </c>
      <c r="AQ412" s="237" t="s">
        <v>178</v>
      </c>
      <c r="AR412">
        <v>2</v>
      </c>
      <c r="AS412" s="256">
        <f t="shared" ref="AS412:AS415" si="661">AR412/$AR$416</f>
        <v>0.25</v>
      </c>
      <c r="AT412" s="237" t="s">
        <v>178</v>
      </c>
      <c r="AU412">
        <v>2</v>
      </c>
      <c r="AV412" s="256">
        <f>AU412/$AU$416</f>
        <v>0.33333333333333331</v>
      </c>
      <c r="AX412" s="145" t="s">
        <v>178</v>
      </c>
      <c r="AY412" s="145">
        <f t="shared" ref="AY412:AY415" si="662">SUM(H412,K412,N412,Q412,T412,W412,Z412,AC412,AF412,AI412,AL412,AO412,AR412,AU412)</f>
        <v>33</v>
      </c>
      <c r="AZ412" s="231">
        <f t="shared" ref="AZ412:AZ415" si="663">AY412/$AY$416</f>
        <v>0.36666666666666664</v>
      </c>
    </row>
    <row r="413" spans="7:52">
      <c r="G413" s="237" t="s">
        <v>179</v>
      </c>
      <c r="I413" s="256">
        <f t="shared" si="649"/>
        <v>0</v>
      </c>
      <c r="J413" s="237" t="s">
        <v>179</v>
      </c>
      <c r="L413" s="256">
        <f t="shared" si="650"/>
        <v>0</v>
      </c>
      <c r="M413" s="237" t="s">
        <v>179</v>
      </c>
      <c r="O413" s="256">
        <f t="shared" si="651"/>
        <v>0</v>
      </c>
      <c r="P413" s="237" t="s">
        <v>179</v>
      </c>
      <c r="Q413">
        <v>1</v>
      </c>
      <c r="R413" s="256">
        <f t="shared" si="652"/>
        <v>0.14285714285714285</v>
      </c>
      <c r="S413" s="237" t="s">
        <v>179</v>
      </c>
      <c r="T413">
        <v>2</v>
      </c>
      <c r="U413" s="256">
        <f t="shared" si="653"/>
        <v>0.18181818181818182</v>
      </c>
      <c r="V413" s="237" t="s">
        <v>179</v>
      </c>
      <c r="W413">
        <v>1</v>
      </c>
      <c r="X413" s="256">
        <f t="shared" si="654"/>
        <v>0.14285714285714285</v>
      </c>
      <c r="Y413" s="237" t="s">
        <v>179</v>
      </c>
      <c r="Z413">
        <v>2</v>
      </c>
      <c r="AA413" s="256">
        <f t="shared" si="655"/>
        <v>0.18181818181818182</v>
      </c>
      <c r="AB413" s="237" t="s">
        <v>179</v>
      </c>
      <c r="AC413">
        <v>1</v>
      </c>
      <c r="AD413" s="256">
        <f t="shared" si="656"/>
        <v>0.16666666666666666</v>
      </c>
      <c r="AE413" s="237" t="s">
        <v>179</v>
      </c>
      <c r="AG413" s="256">
        <f t="shared" si="657"/>
        <v>0</v>
      </c>
      <c r="AH413" s="237" t="s">
        <v>179</v>
      </c>
      <c r="AJ413" s="256">
        <f t="shared" si="658"/>
        <v>0</v>
      </c>
      <c r="AK413" s="237" t="s">
        <v>179</v>
      </c>
      <c r="AL413">
        <v>1</v>
      </c>
      <c r="AM413" s="256">
        <f t="shared" si="659"/>
        <v>0.125</v>
      </c>
      <c r="AN413" s="237" t="s">
        <v>179</v>
      </c>
      <c r="AO413">
        <v>1</v>
      </c>
      <c r="AP413" s="256">
        <f t="shared" si="660"/>
        <v>0.16666666666666666</v>
      </c>
      <c r="AQ413" s="237" t="s">
        <v>179</v>
      </c>
      <c r="AR413">
        <v>1</v>
      </c>
      <c r="AS413" s="256">
        <f t="shared" si="661"/>
        <v>0.125</v>
      </c>
      <c r="AT413" s="237" t="s">
        <v>179</v>
      </c>
      <c r="AU413">
        <v>2</v>
      </c>
      <c r="AV413" s="256">
        <f t="shared" ref="AV413:AV415" si="664">AU413/$AR$416</f>
        <v>0.25</v>
      </c>
      <c r="AX413" s="145" t="s">
        <v>179</v>
      </c>
      <c r="AY413" s="145">
        <f>SUM(H413,K413,N413,Q413,T413,W413,Z413,AC413,AF413,AI413,AL413,AO413,AR413,AU413)</f>
        <v>12</v>
      </c>
      <c r="AZ413" s="231">
        <f t="shared" si="663"/>
        <v>0.13333333333333333</v>
      </c>
    </row>
    <row r="414" spans="7:52">
      <c r="G414" s="237" t="s">
        <v>180</v>
      </c>
      <c r="H414" s="56"/>
      <c r="I414" s="256">
        <f t="shared" si="649"/>
        <v>0</v>
      </c>
      <c r="J414" s="237" t="s">
        <v>180</v>
      </c>
      <c r="K414" s="56"/>
      <c r="L414" s="256">
        <f t="shared" si="650"/>
        <v>0</v>
      </c>
      <c r="M414" s="237" t="s">
        <v>180</v>
      </c>
      <c r="N414" s="56"/>
      <c r="O414" s="256">
        <f t="shared" si="651"/>
        <v>0</v>
      </c>
      <c r="P414" s="237" t="s">
        <v>180</v>
      </c>
      <c r="Q414" s="56"/>
      <c r="R414" s="256">
        <f t="shared" si="652"/>
        <v>0</v>
      </c>
      <c r="S414" s="237" t="s">
        <v>180</v>
      </c>
      <c r="T414">
        <v>3</v>
      </c>
      <c r="U414" s="256">
        <f t="shared" si="653"/>
        <v>0.27272727272727271</v>
      </c>
      <c r="V414" s="237" t="s">
        <v>180</v>
      </c>
      <c r="W414">
        <v>1</v>
      </c>
      <c r="X414" s="256">
        <f t="shared" si="654"/>
        <v>0.14285714285714285</v>
      </c>
      <c r="Y414" s="237" t="s">
        <v>180</v>
      </c>
      <c r="Z414">
        <v>2</v>
      </c>
      <c r="AA414" s="256">
        <f t="shared" si="655"/>
        <v>0.18181818181818182</v>
      </c>
      <c r="AB414" s="237" t="s">
        <v>180</v>
      </c>
      <c r="AC414" s="56"/>
      <c r="AD414" s="256">
        <f t="shared" si="656"/>
        <v>0</v>
      </c>
      <c r="AE414" s="237" t="s">
        <v>180</v>
      </c>
      <c r="AF414" s="56"/>
      <c r="AG414" s="256">
        <f t="shared" si="657"/>
        <v>0</v>
      </c>
      <c r="AH414" s="237" t="s">
        <v>180</v>
      </c>
      <c r="AI414" s="56"/>
      <c r="AJ414" s="256">
        <f t="shared" si="658"/>
        <v>0</v>
      </c>
      <c r="AK414" s="237" t="s">
        <v>180</v>
      </c>
      <c r="AL414" s="56"/>
      <c r="AM414" s="256">
        <f t="shared" si="659"/>
        <v>0</v>
      </c>
      <c r="AN414" s="237" t="s">
        <v>180</v>
      </c>
      <c r="AO414" s="56"/>
      <c r="AP414" s="256">
        <f t="shared" si="660"/>
        <v>0</v>
      </c>
      <c r="AQ414" s="237" t="s">
        <v>180</v>
      </c>
      <c r="AR414" s="56"/>
      <c r="AS414" s="256">
        <f t="shared" si="661"/>
        <v>0</v>
      </c>
      <c r="AT414" s="237" t="s">
        <v>180</v>
      </c>
      <c r="AU414" s="56"/>
      <c r="AV414" s="256">
        <f t="shared" si="664"/>
        <v>0</v>
      </c>
      <c r="AX414" s="145" t="s">
        <v>180</v>
      </c>
      <c r="AY414" s="145">
        <f t="shared" si="662"/>
        <v>6</v>
      </c>
      <c r="AZ414" s="231">
        <f t="shared" si="663"/>
        <v>6.6666666666666666E-2</v>
      </c>
    </row>
    <row r="415" spans="7:52">
      <c r="G415" s="239" t="s">
        <v>41</v>
      </c>
      <c r="H415" s="240">
        <v>2</v>
      </c>
      <c r="I415" s="256">
        <f t="shared" si="649"/>
        <v>1</v>
      </c>
      <c r="J415" s="239" t="s">
        <v>41</v>
      </c>
      <c r="K415" s="240">
        <v>2</v>
      </c>
      <c r="L415" s="256">
        <f t="shared" si="650"/>
        <v>0.66666666666666663</v>
      </c>
      <c r="M415" s="239" t="s">
        <v>41</v>
      </c>
      <c r="N415" s="240">
        <v>2</v>
      </c>
      <c r="O415" s="256">
        <f t="shared" si="651"/>
        <v>0.5</v>
      </c>
      <c r="P415" s="239" t="s">
        <v>41</v>
      </c>
      <c r="Q415" s="240">
        <v>2</v>
      </c>
      <c r="R415" s="256">
        <f t="shared" si="652"/>
        <v>0.2857142857142857</v>
      </c>
      <c r="S415" s="239" t="s">
        <v>41</v>
      </c>
      <c r="T415" s="240">
        <v>2</v>
      </c>
      <c r="U415" s="256">
        <f t="shared" si="653"/>
        <v>0.18181818181818182</v>
      </c>
      <c r="V415" s="239" t="s">
        <v>41</v>
      </c>
      <c r="W415" s="240">
        <v>2</v>
      </c>
      <c r="X415" s="256">
        <f t="shared" si="654"/>
        <v>0.2857142857142857</v>
      </c>
      <c r="Y415" s="239" t="s">
        <v>41</v>
      </c>
      <c r="Z415" s="240">
        <v>2</v>
      </c>
      <c r="AA415" s="256">
        <f t="shared" si="655"/>
        <v>0.18181818181818182</v>
      </c>
      <c r="AB415" s="239" t="s">
        <v>41</v>
      </c>
      <c r="AC415" s="240">
        <v>2</v>
      </c>
      <c r="AD415" s="256">
        <f t="shared" si="656"/>
        <v>0.33333333333333331</v>
      </c>
      <c r="AE415" s="240" t="s">
        <v>41</v>
      </c>
      <c r="AF415" s="240">
        <v>2</v>
      </c>
      <c r="AG415" s="256">
        <f t="shared" si="657"/>
        <v>0.2857142857142857</v>
      </c>
      <c r="AH415" s="240" t="s">
        <v>41</v>
      </c>
      <c r="AI415" s="240">
        <v>2</v>
      </c>
      <c r="AJ415" s="256">
        <f t="shared" si="658"/>
        <v>0.5</v>
      </c>
      <c r="AK415" s="240" t="s">
        <v>41</v>
      </c>
      <c r="AL415" s="240">
        <v>2</v>
      </c>
      <c r="AM415" s="256">
        <f t="shared" si="659"/>
        <v>0.25</v>
      </c>
      <c r="AN415" s="240" t="s">
        <v>41</v>
      </c>
      <c r="AO415" s="240">
        <v>2</v>
      </c>
      <c r="AP415" s="256">
        <f t="shared" si="660"/>
        <v>0.33333333333333331</v>
      </c>
      <c r="AQ415" s="240" t="s">
        <v>41</v>
      </c>
      <c r="AR415" s="240">
        <v>2</v>
      </c>
      <c r="AS415" s="256">
        <f t="shared" si="661"/>
        <v>0.25</v>
      </c>
      <c r="AT415" s="240" t="s">
        <v>41</v>
      </c>
      <c r="AU415" s="240">
        <v>2</v>
      </c>
      <c r="AV415" s="256">
        <f t="shared" si="664"/>
        <v>0.25</v>
      </c>
      <c r="AX415" s="265" t="s">
        <v>41</v>
      </c>
      <c r="AY415" s="145">
        <f t="shared" si="662"/>
        <v>28</v>
      </c>
      <c r="AZ415" s="231">
        <f t="shared" si="663"/>
        <v>0.31111111111111112</v>
      </c>
    </row>
    <row r="416" spans="7:52">
      <c r="G416" t="s">
        <v>181</v>
      </c>
      <c r="H416">
        <f>SUM(H411:H415)</f>
        <v>2</v>
      </c>
      <c r="I416" s="171"/>
      <c r="J416" t="s">
        <v>181</v>
      </c>
      <c r="K416">
        <f>SUM(K411:K415)</f>
        <v>3</v>
      </c>
      <c r="L416" s="171"/>
      <c r="M416" t="s">
        <v>181</v>
      </c>
      <c r="N416">
        <f>SUM(N411:N415)</f>
        <v>4</v>
      </c>
      <c r="O416" s="171"/>
      <c r="P416" t="s">
        <v>181</v>
      </c>
      <c r="Q416">
        <f>SUM(Q411:Q415)</f>
        <v>7</v>
      </c>
      <c r="R416" s="171"/>
      <c r="S416" t="s">
        <v>181</v>
      </c>
      <c r="T416">
        <f>SUM(T411:T415)</f>
        <v>11</v>
      </c>
      <c r="U416" s="171"/>
      <c r="V416" t="s">
        <v>181</v>
      </c>
      <c r="W416">
        <f>SUM(W411:W415)</f>
        <v>7</v>
      </c>
      <c r="X416" s="256"/>
      <c r="Y416" t="s">
        <v>181</v>
      </c>
      <c r="Z416">
        <f>SUM(Z411:Z415)</f>
        <v>11</v>
      </c>
      <c r="AB416" t="s">
        <v>181</v>
      </c>
      <c r="AC416">
        <f>SUM(AC411:AC415)</f>
        <v>6</v>
      </c>
      <c r="AD416" s="171"/>
      <c r="AE416" t="s">
        <v>181</v>
      </c>
      <c r="AF416">
        <f>SUM(AF411:AF415)</f>
        <v>7</v>
      </c>
      <c r="AG416" s="171"/>
      <c r="AH416" t="s">
        <v>181</v>
      </c>
      <c r="AI416">
        <f>SUM(AI411:AI415)</f>
        <v>4</v>
      </c>
      <c r="AJ416" s="171"/>
      <c r="AK416" t="s">
        <v>181</v>
      </c>
      <c r="AL416">
        <f>SUM(AL411:AL415)</f>
        <v>8</v>
      </c>
      <c r="AM416" s="171"/>
      <c r="AN416" t="s">
        <v>181</v>
      </c>
      <c r="AO416">
        <f>SUM(AO411:AO415)</f>
        <v>6</v>
      </c>
      <c r="AP416" s="171"/>
      <c r="AQ416" t="s">
        <v>181</v>
      </c>
      <c r="AR416">
        <f>SUM(AR411:AR415)</f>
        <v>8</v>
      </c>
      <c r="AS416" s="171"/>
      <c r="AT416" t="s">
        <v>181</v>
      </c>
      <c r="AU416">
        <f>SUM(AU411:AU415)</f>
        <v>6</v>
      </c>
      <c r="AV416" s="171"/>
      <c r="AX416" s="251" t="s">
        <v>181</v>
      </c>
      <c r="AY416" s="267">
        <f>SUM(AY411:AY415)</f>
        <v>90</v>
      </c>
      <c r="AZ416" s="263">
        <f>SUM(AZ411:AZ415)</f>
        <v>1</v>
      </c>
    </row>
    <row r="417" spans="7:52">
      <c r="I417" s="171"/>
      <c r="L417" s="171"/>
      <c r="O417" s="171"/>
      <c r="R417" s="171"/>
      <c r="U417" s="171"/>
      <c r="X417" s="171"/>
      <c r="AD417" s="171"/>
      <c r="AG417" s="171"/>
      <c r="AJ417" s="171"/>
      <c r="AM417" s="171"/>
      <c r="AP417" s="171"/>
      <c r="AS417" s="171"/>
      <c r="AV417" s="171"/>
    </row>
    <row r="418" spans="7:52" ht="72">
      <c r="G418" s="234" t="s">
        <v>185</v>
      </c>
      <c r="H418" s="235" t="s">
        <v>186</v>
      </c>
      <c r="I418" s="235" t="s">
        <v>187</v>
      </c>
      <c r="J418" s="234" t="s">
        <v>185</v>
      </c>
      <c r="K418" s="235" t="s">
        <v>186</v>
      </c>
      <c r="L418" s="235" t="s">
        <v>187</v>
      </c>
      <c r="M418" s="234" t="s">
        <v>185</v>
      </c>
      <c r="N418" s="235" t="s">
        <v>186</v>
      </c>
      <c r="O418" s="235" t="s">
        <v>187</v>
      </c>
      <c r="P418" s="234" t="s">
        <v>185</v>
      </c>
      <c r="Q418" s="235" t="s">
        <v>186</v>
      </c>
      <c r="R418" s="235" t="s">
        <v>187</v>
      </c>
      <c r="S418" s="234" t="s">
        <v>185</v>
      </c>
      <c r="T418" s="235" t="s">
        <v>186</v>
      </c>
      <c r="U418" s="235" t="s">
        <v>187</v>
      </c>
      <c r="V418" s="234" t="s">
        <v>185</v>
      </c>
      <c r="W418" s="235" t="s">
        <v>186</v>
      </c>
      <c r="X418" s="235" t="s">
        <v>187</v>
      </c>
      <c r="Y418" s="234" t="s">
        <v>185</v>
      </c>
      <c r="Z418" s="235" t="s">
        <v>186</v>
      </c>
      <c r="AA418" s="235" t="s">
        <v>187</v>
      </c>
      <c r="AB418" s="234" t="s">
        <v>185</v>
      </c>
      <c r="AC418" s="235" t="s">
        <v>186</v>
      </c>
      <c r="AD418" s="235" t="s">
        <v>187</v>
      </c>
      <c r="AE418" s="234" t="s">
        <v>185</v>
      </c>
      <c r="AF418" s="235" t="s">
        <v>186</v>
      </c>
      <c r="AG418" s="235" t="s">
        <v>187</v>
      </c>
      <c r="AH418" s="234" t="s">
        <v>185</v>
      </c>
      <c r="AI418" s="235" t="s">
        <v>186</v>
      </c>
      <c r="AJ418" s="235" t="s">
        <v>187</v>
      </c>
      <c r="AK418" s="234" t="s">
        <v>185</v>
      </c>
      <c r="AL418" s="235" t="s">
        <v>186</v>
      </c>
      <c r="AM418" s="236" t="s">
        <v>187</v>
      </c>
      <c r="AN418" s="234" t="s">
        <v>185</v>
      </c>
      <c r="AO418" s="235" t="s">
        <v>186</v>
      </c>
      <c r="AP418" s="236" t="s">
        <v>187</v>
      </c>
      <c r="AQ418" s="234" t="s">
        <v>185</v>
      </c>
      <c r="AR418" s="235" t="s">
        <v>186</v>
      </c>
      <c r="AS418" s="236" t="s">
        <v>187</v>
      </c>
      <c r="AT418" s="234" t="s">
        <v>185</v>
      </c>
      <c r="AU418" s="235" t="s">
        <v>186</v>
      </c>
      <c r="AV418" s="236" t="s">
        <v>187</v>
      </c>
      <c r="AX418" s="234" t="s">
        <v>185</v>
      </c>
      <c r="AY418" s="235" t="s">
        <v>188</v>
      </c>
      <c r="AZ418" s="236" t="s">
        <v>187</v>
      </c>
    </row>
    <row r="419" spans="7:52">
      <c r="G419" s="239">
        <v>0.5</v>
      </c>
      <c r="H419" s="241">
        <f>(G185/2)</f>
        <v>63500</v>
      </c>
      <c r="I419" s="285">
        <f>H419/H408</f>
        <v>0.19418960244648317</v>
      </c>
      <c r="J419" s="239">
        <v>0.5</v>
      </c>
      <c r="K419" s="241">
        <f>(J185/2)</f>
        <v>63500</v>
      </c>
      <c r="L419" s="285">
        <f>K419/K408</f>
        <v>1.5106257654233702E-2</v>
      </c>
      <c r="M419" s="239">
        <v>0.5</v>
      </c>
      <c r="N419" s="241">
        <f>(M185/2)</f>
        <v>63500</v>
      </c>
      <c r="O419" s="285">
        <f>N419/N408</f>
        <v>6.9438369346513859E-2</v>
      </c>
      <c r="P419" s="239">
        <v>0.5</v>
      </c>
      <c r="Q419" s="241">
        <f>(P185/2)</f>
        <v>63500</v>
      </c>
      <c r="R419" s="285">
        <f>Q419/Q408</f>
        <v>3.1423198733174978E-2</v>
      </c>
      <c r="S419" s="239">
        <v>2.5</v>
      </c>
      <c r="T419" s="241">
        <f>S215+S189+(S185/2)</f>
        <v>244116</v>
      </c>
      <c r="U419" s="285">
        <f>T419/T408</f>
        <v>5.7339099907948707E-2</v>
      </c>
      <c r="V419" s="239">
        <v>1.5</v>
      </c>
      <c r="W419" s="241">
        <f>V223+(V185/2)</f>
        <v>183497</v>
      </c>
      <c r="X419" s="285">
        <f>W419/W408</f>
        <v>3.7179996065137173E-2</v>
      </c>
      <c r="Y419" s="239">
        <v>1</v>
      </c>
      <c r="Z419" s="241">
        <f>(Y188/2)+(Y185/2)</f>
        <v>188500</v>
      </c>
      <c r="AA419" s="285">
        <f>Z419/Z408</f>
        <v>3.0051914083729894E-2</v>
      </c>
      <c r="AB419" s="239">
        <v>0.5</v>
      </c>
      <c r="AC419" s="241">
        <f>(AB185/2)</f>
        <v>63500</v>
      </c>
      <c r="AD419" s="285">
        <f>AC419/AC408</f>
        <v>1.6672075245407696E-2</v>
      </c>
      <c r="AE419" s="239">
        <v>3</v>
      </c>
      <c r="AF419" s="241">
        <f>(AE185/2)+AE152+(AE140/2)+AE130</f>
        <v>133315</v>
      </c>
      <c r="AG419" s="285">
        <f>AF419/AF408</f>
        <v>0.33596260222017815</v>
      </c>
      <c r="AH419" s="239">
        <v>0.5</v>
      </c>
      <c r="AI419" s="241">
        <f>(AH185/2)</f>
        <v>63500</v>
      </c>
      <c r="AJ419" s="285">
        <f>AI419/AI408</f>
        <v>9.219843018742126E-3</v>
      </c>
      <c r="AK419" s="239">
        <v>2</v>
      </c>
      <c r="AL419" s="241">
        <f>(AK185/2)+AK131+AK132+AK133</f>
        <v>4299500</v>
      </c>
      <c r="AM419" s="284">
        <f>AL419/AL408</f>
        <v>0.79650755658640149</v>
      </c>
      <c r="AN419" s="239">
        <v>1.5</v>
      </c>
      <c r="AO419" s="241">
        <f>(AN185/2)+AN155</f>
        <v>63500</v>
      </c>
      <c r="AP419" s="284">
        <f>AO419/AO408</f>
        <v>1.2848321017829827E-2</v>
      </c>
      <c r="AQ419" s="239">
        <v>1.5</v>
      </c>
      <c r="AR419" s="241">
        <f>(AQ185/2)+AQ157+(AQ145/2)</f>
        <v>63500</v>
      </c>
      <c r="AS419" s="284">
        <f>AR419/AR408</f>
        <v>1.2345775023038966E-2</v>
      </c>
      <c r="AT419" s="239">
        <v>2.5</v>
      </c>
      <c r="AU419" s="241">
        <f>(AT185/2)+AT154+(AT145/2)</f>
        <v>502700</v>
      </c>
      <c r="AV419" s="284">
        <f>AU419/AU408</f>
        <v>8.748390240506769E-2</v>
      </c>
      <c r="AX419" s="287">
        <f>SUM(AQ419,AN419,AK419,AH419,AE419,AB419,Y419,V419,S419,P419,M419,J419,G419,AT419)</f>
        <v>18.5</v>
      </c>
      <c r="AY419" s="241">
        <f>SUM(AR419,AO419,AL419,AI419,AF419,AC419,Z419,W419,T419,Q419,N419,K419,H419,AU419)</f>
        <v>6059628</v>
      </c>
      <c r="AZ419" s="256">
        <f>AY419/AY408</f>
        <v>0.10966884112065198</v>
      </c>
    </row>
    <row r="420" spans="7:52" ht="43.15">
      <c r="AZ420" s="228" t="s">
        <v>189</v>
      </c>
    </row>
    <row r="421" spans="7:52" ht="100.9">
      <c r="AB421" s="1" t="s">
        <v>190</v>
      </c>
      <c r="AC421" s="1" t="s">
        <v>191</v>
      </c>
      <c r="AZ421" s="231">
        <f>AY371/AY372</f>
        <v>6.9227830571605947E-2</v>
      </c>
    </row>
    <row r="422" spans="7:52">
      <c r="AC422" s="443">
        <f>4864371+3643736+3752050</f>
        <v>12260157</v>
      </c>
    </row>
    <row r="426" spans="7:52">
      <c r="AC426">
        <f>12260157-2138203</f>
        <v>10121954</v>
      </c>
    </row>
  </sheetData>
  <sheetProtection selectLockedCells="1"/>
  <mergeCells count="1547">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G30" sqref="A30:L30"/>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736" t="s">
        <v>192</v>
      </c>
      <c r="B1" s="736"/>
      <c r="C1" s="736"/>
      <c r="D1" s="736"/>
      <c r="E1" s="736"/>
      <c r="F1" s="736"/>
      <c r="G1" s="736"/>
      <c r="H1" s="736"/>
      <c r="I1" s="736"/>
      <c r="J1" s="736"/>
      <c r="K1" s="736"/>
      <c r="L1" s="736"/>
    </row>
    <row r="2" spans="1:12">
      <c r="A2" s="145"/>
      <c r="B2" s="145" t="s">
        <v>7</v>
      </c>
      <c r="C2" s="145" t="s">
        <v>8</v>
      </c>
      <c r="D2" s="145" t="s">
        <v>9</v>
      </c>
      <c r="E2" s="145" t="s">
        <v>10</v>
      </c>
      <c r="F2" s="145" t="s">
        <v>11</v>
      </c>
      <c r="G2" s="145" t="s">
        <v>12</v>
      </c>
      <c r="H2" s="145" t="s">
        <v>13</v>
      </c>
      <c r="I2" s="145" t="s">
        <v>14</v>
      </c>
      <c r="J2" s="145" t="s">
        <v>15</v>
      </c>
      <c r="K2" s="145" t="s">
        <v>16</v>
      </c>
      <c r="L2" s="145" t="s">
        <v>193</v>
      </c>
    </row>
    <row r="3" spans="1:12">
      <c r="A3" s="145" t="s">
        <v>194</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684115</v>
      </c>
      <c r="I3" s="188">
        <f>'IN - All Programs'!AP353</f>
        <v>684115</v>
      </c>
      <c r="J3" s="188">
        <f>'IN - All Programs'!AS353</f>
        <v>684115</v>
      </c>
      <c r="K3" s="188">
        <f>'IN - All Programs'!AV353</f>
        <v>684115</v>
      </c>
      <c r="L3" s="188">
        <f>SUM(B3:K3)</f>
        <v>7425138.3799999999</v>
      </c>
    </row>
    <row r="4" spans="1:12">
      <c r="A4" s="145" t="s">
        <v>195</v>
      </c>
      <c r="B4" s="188">
        <f t="shared" ref="B4:F4" si="0">SUM(B3/2)</f>
        <v>543679</v>
      </c>
      <c r="C4" s="188">
        <f t="shared" si="0"/>
        <v>664906</v>
      </c>
      <c r="D4" s="188">
        <f t="shared" si="0"/>
        <v>210570.5</v>
      </c>
      <c r="E4" s="188">
        <f t="shared" si="0"/>
        <v>345476</v>
      </c>
      <c r="F4" s="188">
        <f t="shared" si="0"/>
        <v>359907.69</v>
      </c>
      <c r="G4" s="188">
        <f>SUM(G3/2)</f>
        <v>219800</v>
      </c>
      <c r="H4" s="188">
        <f>SUM(H3/2)</f>
        <v>342057.5</v>
      </c>
      <c r="I4" s="188">
        <f>SUM(I3/2)</f>
        <v>342057.5</v>
      </c>
      <c r="J4" s="188">
        <f>SUM(J3/2)</f>
        <v>342057.5</v>
      </c>
      <c r="K4" s="188">
        <f>SUM(K3/2)</f>
        <v>342057.5</v>
      </c>
      <c r="L4" s="188">
        <f>SUM(B4:K4)</f>
        <v>3712569.19</v>
      </c>
    </row>
    <row r="5" spans="1:12">
      <c r="A5" s="145" t="s">
        <v>196</v>
      </c>
      <c r="B5" s="188">
        <f>'IN - All Programs'!S342</f>
        <v>500000</v>
      </c>
      <c r="C5" s="188">
        <f>'IN - All Programs'!V342</f>
        <v>200000</v>
      </c>
      <c r="D5" s="188">
        <f>'IN - All Programs'!Y342</f>
        <v>350000</v>
      </c>
      <c r="E5" s="188">
        <f>'IN - All Programs'!AB342</f>
        <v>200000</v>
      </c>
      <c r="F5" s="188">
        <f>'IN - All Programs'!AE342</f>
        <v>464937</v>
      </c>
      <c r="G5" s="188">
        <f>'IN - All Programs'!AH342</f>
        <v>342733</v>
      </c>
      <c r="H5" s="188">
        <f>'IN - All Programs'!AK342</f>
        <v>200000</v>
      </c>
      <c r="I5" s="188">
        <f>'IN - All Programs'!AN342</f>
        <v>700000</v>
      </c>
      <c r="J5" s="188">
        <f>'IN - All Programs'!AQ342</f>
        <v>700000</v>
      </c>
      <c r="K5" s="188">
        <f>'IN - All Programs'!AT342</f>
        <v>700000</v>
      </c>
      <c r="L5" s="188">
        <f>SUM(B5:K5)</f>
        <v>4357670</v>
      </c>
    </row>
    <row r="6" spans="1:12">
      <c r="A6" s="733"/>
      <c r="B6" s="734"/>
      <c r="C6" s="734"/>
      <c r="D6" s="734"/>
      <c r="E6" s="734"/>
      <c r="F6" s="734"/>
      <c r="G6" s="734"/>
      <c r="H6" s="734"/>
      <c r="I6" s="734"/>
      <c r="J6" s="734"/>
      <c r="K6" s="734"/>
      <c r="L6" s="735"/>
    </row>
    <row r="7" spans="1:12">
      <c r="A7" s="736" t="s">
        <v>197</v>
      </c>
      <c r="B7" s="736"/>
      <c r="C7" s="736"/>
      <c r="D7" s="736"/>
      <c r="E7" s="736"/>
      <c r="F7" s="736"/>
      <c r="G7" s="736"/>
      <c r="H7" s="736"/>
      <c r="I7" s="736"/>
      <c r="J7" s="736"/>
      <c r="K7" s="736"/>
      <c r="L7" s="736"/>
    </row>
    <row r="8" spans="1:12">
      <c r="A8" s="145"/>
      <c r="B8" s="145" t="s">
        <v>7</v>
      </c>
      <c r="C8" s="145" t="s">
        <v>8</v>
      </c>
      <c r="D8" s="145" t="s">
        <v>9</v>
      </c>
      <c r="E8" s="145" t="s">
        <v>10</v>
      </c>
      <c r="F8" s="145" t="s">
        <v>11</v>
      </c>
      <c r="G8" s="145" t="s">
        <v>12</v>
      </c>
      <c r="H8" s="145" t="s">
        <v>13</v>
      </c>
      <c r="I8" s="145" t="s">
        <v>14</v>
      </c>
      <c r="J8" s="145" t="s">
        <v>15</v>
      </c>
      <c r="K8" s="145" t="s">
        <v>16</v>
      </c>
      <c r="L8" s="145" t="s">
        <v>193</v>
      </c>
    </row>
    <row r="9" spans="1:12">
      <c r="A9" s="145" t="s">
        <v>194</v>
      </c>
      <c r="B9" s="188"/>
      <c r="C9" s="188"/>
      <c r="D9" s="188">
        <f>'IN - All Programs'!AA354</f>
        <v>841664</v>
      </c>
      <c r="E9" s="188">
        <f>'IN - All Programs'!AD354</f>
        <v>433499</v>
      </c>
      <c r="F9" s="188">
        <f>'IN - All Programs'!AG354</f>
        <v>447998.38</v>
      </c>
      <c r="G9" s="188">
        <f>'IN - All Programs'!AJ354</f>
        <v>404747</v>
      </c>
      <c r="H9" s="188">
        <f>'IN - All Programs'!AM354</f>
        <v>421024</v>
      </c>
      <c r="I9" s="188">
        <f>'IN - All Programs'!AP354</f>
        <v>421024</v>
      </c>
      <c r="J9" s="188">
        <f>'IN - All Programs'!AS354</f>
        <v>421024</v>
      </c>
      <c r="K9" s="188">
        <f>'IN - All Programs'!AV354</f>
        <v>421024</v>
      </c>
      <c r="L9" s="188">
        <f>SUM(B9:K9)</f>
        <v>3812004.38</v>
      </c>
    </row>
    <row r="10" spans="1:12">
      <c r="A10" s="145" t="s">
        <v>195</v>
      </c>
      <c r="B10" s="188"/>
      <c r="C10" s="188"/>
      <c r="D10" s="188">
        <f t="shared" ref="D10:J10" si="1">SUM(D9/2)</f>
        <v>420832</v>
      </c>
      <c r="E10" s="188">
        <f t="shared" si="1"/>
        <v>216749.5</v>
      </c>
      <c r="F10" s="188">
        <f t="shared" si="1"/>
        <v>223999.19</v>
      </c>
      <c r="G10" s="188">
        <f t="shared" si="1"/>
        <v>202373.5</v>
      </c>
      <c r="H10" s="188">
        <f t="shared" si="1"/>
        <v>210512</v>
      </c>
      <c r="I10" s="188">
        <f t="shared" si="1"/>
        <v>210512</v>
      </c>
      <c r="J10" s="188">
        <f t="shared" si="1"/>
        <v>210512</v>
      </c>
      <c r="K10" s="188">
        <f t="shared" ref="K10" si="2">SUM(K9/2)</f>
        <v>210512</v>
      </c>
      <c r="L10" s="188">
        <f>SUM(B10:K10)</f>
        <v>1906002.19</v>
      </c>
    </row>
    <row r="11" spans="1:12">
      <c r="A11" s="145" t="s">
        <v>196</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733"/>
      <c r="B12" s="734"/>
      <c r="C12" s="734"/>
      <c r="D12" s="734"/>
      <c r="E12" s="734"/>
      <c r="F12" s="734"/>
      <c r="G12" s="734"/>
      <c r="H12" s="734"/>
      <c r="I12" s="734"/>
      <c r="J12" s="734"/>
      <c r="K12" s="734"/>
      <c r="L12" s="735"/>
    </row>
    <row r="13" spans="1:12">
      <c r="A13" s="736" t="s">
        <v>198</v>
      </c>
      <c r="B13" s="736"/>
      <c r="C13" s="736"/>
      <c r="D13" s="736"/>
      <c r="E13" s="736"/>
      <c r="F13" s="736"/>
      <c r="G13" s="736"/>
      <c r="H13" s="736"/>
      <c r="I13" s="736"/>
      <c r="J13" s="736"/>
      <c r="K13" s="736"/>
      <c r="L13" s="736"/>
    </row>
    <row r="14" spans="1:12">
      <c r="A14" s="145"/>
      <c r="B14" s="145" t="s">
        <v>7</v>
      </c>
      <c r="C14" s="145" t="s">
        <v>8</v>
      </c>
      <c r="D14" s="145" t="s">
        <v>9</v>
      </c>
      <c r="E14" s="145" t="s">
        <v>10</v>
      </c>
      <c r="F14" s="145" t="s">
        <v>11</v>
      </c>
      <c r="G14" s="145" t="s">
        <v>12</v>
      </c>
      <c r="H14" s="145" t="s">
        <v>13</v>
      </c>
      <c r="I14" s="145" t="s">
        <v>14</v>
      </c>
      <c r="J14" s="145" t="s">
        <v>15</v>
      </c>
      <c r="K14" s="145" t="s">
        <v>16</v>
      </c>
      <c r="L14" s="145" t="s">
        <v>193</v>
      </c>
    </row>
    <row r="15" spans="1:12">
      <c r="A15" s="145" t="s">
        <v>194</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408754</v>
      </c>
      <c r="I15" s="188">
        <f>'IN - All Programs'!AP355</f>
        <v>408754</v>
      </c>
      <c r="J15" s="188">
        <f>'IN - All Programs'!AS355</f>
        <v>408754</v>
      </c>
      <c r="K15" s="188">
        <f>'IN - All Programs'!AV355</f>
        <v>408754</v>
      </c>
      <c r="L15" s="188">
        <f>SUM(B15:K15)</f>
        <v>4849584.38</v>
      </c>
    </row>
    <row r="16" spans="1:12">
      <c r="A16" s="145" t="s">
        <v>195</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204377</v>
      </c>
      <c r="I16" s="188">
        <f t="shared" si="4"/>
        <v>204377</v>
      </c>
      <c r="J16" s="188">
        <f t="shared" si="4"/>
        <v>204377</v>
      </c>
      <c r="K16" s="188">
        <f t="shared" ref="K16" si="5">SUM(K15/2)</f>
        <v>204377</v>
      </c>
      <c r="L16" s="188">
        <f>SUM(B16:K16)</f>
        <v>2424792.19</v>
      </c>
    </row>
    <row r="17" spans="1:12">
      <c r="A17" s="145" t="s">
        <v>196</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733"/>
      <c r="B18" s="734"/>
      <c r="C18" s="734"/>
      <c r="D18" s="734"/>
      <c r="E18" s="734"/>
      <c r="F18" s="734"/>
      <c r="G18" s="734"/>
      <c r="H18" s="734"/>
      <c r="I18" s="734"/>
      <c r="J18" s="734"/>
      <c r="K18" s="734"/>
      <c r="L18" s="735"/>
    </row>
    <row r="19" spans="1:12">
      <c r="A19" s="736" t="s">
        <v>199</v>
      </c>
      <c r="B19" s="736"/>
      <c r="C19" s="736"/>
      <c r="D19" s="736"/>
      <c r="E19" s="736"/>
      <c r="F19" s="736"/>
      <c r="G19" s="736"/>
      <c r="H19" s="736"/>
      <c r="I19" s="736"/>
      <c r="J19" s="736"/>
      <c r="K19" s="736"/>
      <c r="L19" s="736"/>
    </row>
    <row r="20" spans="1:12">
      <c r="A20" s="188"/>
      <c r="B20" s="188" t="s">
        <v>7</v>
      </c>
      <c r="C20" s="188" t="s">
        <v>8</v>
      </c>
      <c r="D20" s="188" t="s">
        <v>9</v>
      </c>
      <c r="E20" s="188" t="s">
        <v>10</v>
      </c>
      <c r="F20" s="188" t="s">
        <v>11</v>
      </c>
      <c r="G20" s="188" t="s">
        <v>12</v>
      </c>
      <c r="H20" s="188" t="s">
        <v>13</v>
      </c>
      <c r="I20" s="188" t="s">
        <v>14</v>
      </c>
      <c r="J20" s="188" t="s">
        <v>15</v>
      </c>
      <c r="K20" s="188" t="s">
        <v>16</v>
      </c>
      <c r="L20" s="188" t="s">
        <v>193</v>
      </c>
    </row>
    <row r="21" spans="1:12">
      <c r="A21" s="188" t="s">
        <v>194</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155746</v>
      </c>
      <c r="I21" s="188">
        <f>'IN - All Programs'!AP356</f>
        <v>155746</v>
      </c>
      <c r="J21" s="188">
        <f>'IN - All Programs'!AS356</f>
        <v>155746</v>
      </c>
      <c r="K21" s="188">
        <f>'IN - All Programs'!AV356</f>
        <v>155746</v>
      </c>
      <c r="L21" s="188">
        <f>SUM(B21:K21)</f>
        <v>1164019.3799999999</v>
      </c>
    </row>
    <row r="22" spans="1:12">
      <c r="A22" s="188" t="s">
        <v>195</v>
      </c>
      <c r="B22" s="188">
        <f>SUM(B21/2)</f>
        <v>0</v>
      </c>
      <c r="C22" s="188">
        <f>SUM(C21/2)</f>
        <v>0</v>
      </c>
      <c r="D22" s="188">
        <f>SUM(D21/2)</f>
        <v>78528.5</v>
      </c>
      <c r="E22" s="188">
        <f t="shared" ref="E22:J22" si="6">SUM(E21/2)</f>
        <v>80099</v>
      </c>
      <c r="F22" s="188">
        <f t="shared" si="6"/>
        <v>81480.69</v>
      </c>
      <c r="G22" s="188">
        <f t="shared" si="6"/>
        <v>30409.5</v>
      </c>
      <c r="H22" s="188">
        <f t="shared" si="6"/>
        <v>77873</v>
      </c>
      <c r="I22" s="188">
        <f t="shared" si="6"/>
        <v>77873</v>
      </c>
      <c r="J22" s="188">
        <f t="shared" si="6"/>
        <v>77873</v>
      </c>
      <c r="K22" s="188">
        <f t="shared" ref="K22" si="7">SUM(K21/2)</f>
        <v>77873</v>
      </c>
      <c r="L22" s="188">
        <f>SUM(B22:K22)</f>
        <v>582009.68999999994</v>
      </c>
    </row>
    <row r="23" spans="1:12">
      <c r="A23" s="188" t="s">
        <v>196</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0</v>
      </c>
      <c r="K23" s="188">
        <f>'IN - All Programs'!AT345</f>
        <v>0</v>
      </c>
      <c r="L23" s="188">
        <f>SUM(B23:K23)</f>
        <v>0</v>
      </c>
    </row>
    <row r="24" spans="1:12">
      <c r="A24" s="738"/>
      <c r="B24" s="739"/>
      <c r="C24" s="739"/>
      <c r="D24" s="739"/>
      <c r="E24" s="739"/>
      <c r="F24" s="739"/>
      <c r="G24" s="739"/>
      <c r="H24" s="739"/>
      <c r="I24" s="739"/>
      <c r="J24" s="739"/>
      <c r="K24" s="739"/>
      <c r="L24" s="740"/>
    </row>
    <row r="25" spans="1:12">
      <c r="A25" s="737" t="s">
        <v>200</v>
      </c>
      <c r="B25" s="737"/>
      <c r="C25" s="737"/>
      <c r="D25" s="737"/>
      <c r="E25" s="737"/>
      <c r="F25" s="737"/>
      <c r="G25" s="737"/>
      <c r="H25" s="737"/>
      <c r="I25" s="737"/>
      <c r="J25" s="737"/>
      <c r="K25" s="737"/>
      <c r="L25" s="737"/>
    </row>
    <row r="26" spans="1:12">
      <c r="A26" s="145"/>
      <c r="B26" s="145" t="s">
        <v>7</v>
      </c>
      <c r="C26" s="145" t="s">
        <v>8</v>
      </c>
      <c r="D26" s="145" t="s">
        <v>9</v>
      </c>
      <c r="E26" s="145" t="s">
        <v>10</v>
      </c>
      <c r="F26" s="145" t="s">
        <v>11</v>
      </c>
      <c r="G26" s="145" t="s">
        <v>12</v>
      </c>
      <c r="H26" s="145" t="s">
        <v>13</v>
      </c>
      <c r="I26" s="145" t="s">
        <v>14</v>
      </c>
      <c r="J26" s="145" t="s">
        <v>15</v>
      </c>
      <c r="K26" s="145" t="s">
        <v>16</v>
      </c>
      <c r="L26" s="145" t="s">
        <v>193</v>
      </c>
    </row>
    <row r="27" spans="1:12">
      <c r="A27" s="145" t="s">
        <v>194</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3465611</v>
      </c>
      <c r="I27" s="188">
        <f>'IN - All Programs'!AP357</f>
        <v>3465611</v>
      </c>
      <c r="J27" s="188">
        <f>'IN - All Programs'!AS357</f>
        <v>3465611</v>
      </c>
      <c r="K27" s="188">
        <f>'IN - All Programs'!AV357</f>
        <v>3465611</v>
      </c>
      <c r="L27" s="188">
        <f>SUM(B27:K27)</f>
        <v>35326559.379999995</v>
      </c>
    </row>
    <row r="28" spans="1:12">
      <c r="A28" s="145" t="s">
        <v>195</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1732805.5</v>
      </c>
      <c r="I28" s="188">
        <f t="shared" si="9"/>
        <v>1732805.5</v>
      </c>
      <c r="J28" s="188">
        <f t="shared" si="9"/>
        <v>1732805.5</v>
      </c>
      <c r="K28" s="188">
        <f t="shared" ref="K28" si="10">SUM(K27/2)</f>
        <v>1732805.5</v>
      </c>
      <c r="L28" s="188">
        <f>SUM(B28:K28)</f>
        <v>17663279.689999998</v>
      </c>
    </row>
    <row r="29" spans="1:12">
      <c r="A29" s="145" t="s">
        <v>196</v>
      </c>
      <c r="B29" s="188">
        <f>'IN - All Programs'!S346</f>
        <v>3305869</v>
      </c>
      <c r="C29" s="188">
        <f>'IN - All Programs'!V346</f>
        <v>4310978</v>
      </c>
      <c r="D29" s="188">
        <f>'IN - All Programs'!Y346</f>
        <v>4269039</v>
      </c>
      <c r="E29" s="188">
        <f>'IN - All Programs'!AB346</f>
        <v>1327000</v>
      </c>
      <c r="F29" s="188">
        <f>'IN - All Programs'!AE346</f>
        <v>796815</v>
      </c>
      <c r="G29" s="188">
        <f>'IN - All Programs'!AH346</f>
        <v>6435319</v>
      </c>
      <c r="H29" s="188">
        <f>'IN - All Programs'!AK346</f>
        <v>4395000</v>
      </c>
      <c r="I29" s="188">
        <f>'IN - All Programs'!AN346</f>
        <v>3209220</v>
      </c>
      <c r="J29" s="188">
        <f>'IN - All Programs'!AQ346</f>
        <v>2255000</v>
      </c>
      <c r="K29" s="188">
        <f>'IN - All Programs'!AT346</f>
        <v>566200</v>
      </c>
      <c r="L29" s="188">
        <f>SUM(B29:K29)</f>
        <v>30870440</v>
      </c>
    </row>
    <row r="30" spans="1:12">
      <c r="A30" s="733"/>
      <c r="B30" s="734"/>
      <c r="C30" s="734"/>
      <c r="D30" s="734"/>
      <c r="E30" s="734"/>
      <c r="F30" s="734"/>
      <c r="G30" s="734"/>
      <c r="H30" s="734"/>
      <c r="I30" s="734"/>
      <c r="J30" s="734"/>
      <c r="K30" s="734"/>
      <c r="L30" s="735"/>
    </row>
    <row r="31" spans="1:12">
      <c r="A31" s="736" t="s">
        <v>201</v>
      </c>
      <c r="B31" s="736"/>
      <c r="C31" s="736"/>
      <c r="D31" s="736"/>
      <c r="E31" s="736"/>
      <c r="F31" s="736"/>
      <c r="G31" s="736"/>
      <c r="H31" s="736"/>
      <c r="I31" s="736"/>
      <c r="J31" s="736"/>
      <c r="K31" s="736"/>
      <c r="L31" s="736"/>
    </row>
    <row r="32" spans="1:12">
      <c r="A32" s="145"/>
      <c r="B32" s="145" t="s">
        <v>7</v>
      </c>
      <c r="C32" s="145" t="s">
        <v>8</v>
      </c>
      <c r="D32" s="145" t="s">
        <v>9</v>
      </c>
      <c r="E32" s="145" t="s">
        <v>10</v>
      </c>
      <c r="F32" s="145" t="s">
        <v>11</v>
      </c>
      <c r="G32" s="145" t="s">
        <v>12</v>
      </c>
      <c r="H32" s="145" t="s">
        <v>13</v>
      </c>
      <c r="I32" s="145" t="s">
        <v>14</v>
      </c>
      <c r="J32" s="145" t="s">
        <v>15</v>
      </c>
      <c r="K32" s="145" t="s">
        <v>16</v>
      </c>
      <c r="L32" s="145" t="s">
        <v>193</v>
      </c>
    </row>
    <row r="33" spans="1:12">
      <c r="A33" s="145" t="s">
        <v>194</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482539</v>
      </c>
      <c r="I33" s="188">
        <f>'IN - All Programs'!AP358</f>
        <v>482539</v>
      </c>
      <c r="J33" s="188">
        <f>'IN - All Programs'!AS358</f>
        <v>482539</v>
      </c>
      <c r="K33" s="188">
        <f>'IN - All Programs'!AV358</f>
        <v>482539</v>
      </c>
      <c r="L33" s="188">
        <f>SUM(B33:K33)</f>
        <v>4501512.38</v>
      </c>
    </row>
    <row r="34" spans="1:12">
      <c r="A34" s="145" t="s">
        <v>195</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241269.5</v>
      </c>
      <c r="I34" s="188">
        <f t="shared" si="12"/>
        <v>241269.5</v>
      </c>
      <c r="J34" s="188">
        <f t="shared" si="12"/>
        <v>241269.5</v>
      </c>
      <c r="K34" s="188">
        <f t="shared" ref="K34" si="13">SUM(K33/2)</f>
        <v>241269.5</v>
      </c>
      <c r="L34" s="188">
        <f>SUM(B34:K34)</f>
        <v>2250756.19</v>
      </c>
    </row>
    <row r="35" spans="1:12">
      <c r="A35" s="145" t="s">
        <v>196</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733"/>
      <c r="B36" s="734"/>
      <c r="C36" s="734"/>
      <c r="D36" s="734"/>
      <c r="E36" s="734"/>
      <c r="F36" s="734"/>
      <c r="G36" s="734"/>
      <c r="H36" s="734"/>
      <c r="I36" s="734"/>
      <c r="J36" s="734"/>
      <c r="K36" s="734"/>
      <c r="L36" s="735"/>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N123" activePane="bottomRight" state="frozen"/>
      <selection pane="bottomRight" activeCell="N120" sqref="N120"/>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1.5703125" customWidth="1"/>
    <col min="6" max="6" width="26.5703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547" t="s">
        <v>202</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row>
    <row r="2" spans="1:27" ht="30" customHeight="1">
      <c r="A2" s="547"/>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row>
    <row r="3" spans="1:27" s="45" customFormat="1" ht="35.450000000000003" customHeight="1">
      <c r="A3" s="720" t="s">
        <v>1</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row>
    <row r="4" spans="1:27">
      <c r="A4" s="786" t="s">
        <v>2</v>
      </c>
      <c r="B4" s="787"/>
      <c r="C4" s="787"/>
      <c r="D4" s="787"/>
      <c r="E4" s="787"/>
      <c r="F4" s="787"/>
      <c r="G4" s="788"/>
      <c r="H4" s="789" t="s">
        <v>10</v>
      </c>
      <c r="I4" s="790"/>
      <c r="J4" s="791"/>
      <c r="K4" s="789" t="s">
        <v>11</v>
      </c>
      <c r="L4" s="790"/>
      <c r="M4" s="791"/>
      <c r="N4" s="789" t="s">
        <v>12</v>
      </c>
      <c r="O4" s="790"/>
      <c r="P4" s="791"/>
      <c r="Q4" s="789" t="s">
        <v>13</v>
      </c>
      <c r="R4" s="790"/>
      <c r="S4" s="791"/>
      <c r="T4" s="789" t="s">
        <v>14</v>
      </c>
      <c r="U4" s="790"/>
      <c r="V4" s="791"/>
      <c r="W4" s="789" t="s">
        <v>15</v>
      </c>
      <c r="X4" s="790"/>
      <c r="Y4" s="791"/>
      <c r="Z4" s="46" t="s">
        <v>17</v>
      </c>
      <c r="AA4" s="47"/>
    </row>
    <row r="5" spans="1:27" ht="15" customHeight="1">
      <c r="A5" s="774" t="s">
        <v>22</v>
      </c>
      <c r="B5" s="542" t="s">
        <v>18</v>
      </c>
      <c r="C5" s="524" t="s">
        <v>19</v>
      </c>
      <c r="D5" s="524" t="s">
        <v>203</v>
      </c>
      <c r="E5" s="776" t="s">
        <v>21</v>
      </c>
      <c r="F5" s="494" t="s">
        <v>22</v>
      </c>
      <c r="G5" s="492" t="s">
        <v>23</v>
      </c>
      <c r="H5" s="504" t="s">
        <v>24</v>
      </c>
      <c r="I5" s="494" t="s">
        <v>25</v>
      </c>
      <c r="J5" s="496" t="s">
        <v>26</v>
      </c>
      <c r="K5" s="504" t="s">
        <v>24</v>
      </c>
      <c r="L5" s="494" t="s">
        <v>25</v>
      </c>
      <c r="M5" s="496" t="s">
        <v>26</v>
      </c>
      <c r="N5" s="504" t="s">
        <v>24</v>
      </c>
      <c r="O5" s="494" t="s">
        <v>25</v>
      </c>
      <c r="P5" s="496" t="s">
        <v>26</v>
      </c>
      <c r="Q5" s="504" t="s">
        <v>24</v>
      </c>
      <c r="R5" s="494" t="s">
        <v>25</v>
      </c>
      <c r="S5" s="496" t="s">
        <v>26</v>
      </c>
      <c r="T5" s="504" t="s">
        <v>24</v>
      </c>
      <c r="U5" s="494" t="s">
        <v>25</v>
      </c>
      <c r="V5" s="496" t="s">
        <v>26</v>
      </c>
      <c r="W5" s="504" t="s">
        <v>24</v>
      </c>
      <c r="X5" s="494" t="s">
        <v>25</v>
      </c>
      <c r="Y5" s="496" t="s">
        <v>26</v>
      </c>
      <c r="Z5" s="604" t="s">
        <v>24</v>
      </c>
      <c r="AA5" s="513" t="s">
        <v>27</v>
      </c>
    </row>
    <row r="6" spans="1:27" ht="15.75" customHeight="1">
      <c r="A6" s="775"/>
      <c r="B6" s="543"/>
      <c r="C6" s="525"/>
      <c r="D6" s="525"/>
      <c r="E6" s="777"/>
      <c r="F6" s="495"/>
      <c r="G6" s="493"/>
      <c r="H6" s="505"/>
      <c r="I6" s="495"/>
      <c r="J6" s="497"/>
      <c r="K6" s="505"/>
      <c r="L6" s="495"/>
      <c r="M6" s="497"/>
      <c r="N6" s="505"/>
      <c r="O6" s="495"/>
      <c r="P6" s="497"/>
      <c r="Q6" s="505"/>
      <c r="R6" s="495"/>
      <c r="S6" s="497"/>
      <c r="T6" s="505"/>
      <c r="U6" s="495"/>
      <c r="V6" s="497"/>
      <c r="W6" s="505"/>
      <c r="X6" s="495"/>
      <c r="Y6" s="497"/>
      <c r="Z6" s="588"/>
      <c r="AA6" s="514"/>
    </row>
    <row r="7" spans="1:27" ht="15" customHeight="1">
      <c r="A7" s="526" t="s">
        <v>204</v>
      </c>
      <c r="B7" s="540" t="s">
        <v>205</v>
      </c>
      <c r="C7" s="528">
        <v>2087</v>
      </c>
      <c r="D7" s="530" t="s">
        <v>206</v>
      </c>
      <c r="E7" s="532" t="s">
        <v>207</v>
      </c>
      <c r="F7" s="589" t="s">
        <v>208</v>
      </c>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c r="A8" s="526"/>
      <c r="B8" s="540"/>
      <c r="C8" s="528"/>
      <c r="D8" s="530"/>
      <c r="E8" s="532"/>
      <c r="F8" s="590"/>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c r="A9" s="526"/>
      <c r="B9" s="540"/>
      <c r="C9" s="528"/>
      <c r="D9" s="530"/>
      <c r="E9" s="532"/>
      <c r="F9" s="590"/>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c r="A10" s="526"/>
      <c r="B10" s="540"/>
      <c r="C10" s="528"/>
      <c r="D10" s="530"/>
      <c r="E10" s="532"/>
      <c r="F10" s="590"/>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c r="A11" s="526"/>
      <c r="B11" s="540"/>
      <c r="C11" s="528"/>
      <c r="D11" s="530"/>
      <c r="E11" s="532"/>
      <c r="F11" s="590"/>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c r="A12" s="526"/>
      <c r="B12" s="540"/>
      <c r="C12" s="528"/>
      <c r="D12" s="530"/>
      <c r="E12" s="532"/>
      <c r="F12" s="590"/>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c r="A13" s="526"/>
      <c r="B13" s="540"/>
      <c r="C13" s="528"/>
      <c r="D13" s="530"/>
      <c r="E13" s="532"/>
      <c r="F13" s="590"/>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c r="A14" s="526"/>
      <c r="B14" s="540"/>
      <c r="C14" s="528"/>
      <c r="D14" s="530"/>
      <c r="E14" s="532"/>
      <c r="F14" s="590"/>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c r="A15" s="527"/>
      <c r="B15" s="541"/>
      <c r="C15" s="529"/>
      <c r="D15" s="531"/>
      <c r="E15" s="533"/>
      <c r="F15" s="591"/>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774" t="s">
        <v>22</v>
      </c>
      <c r="B16" s="542" t="s">
        <v>18</v>
      </c>
      <c r="C16" s="524" t="s">
        <v>19</v>
      </c>
      <c r="D16" s="524" t="s">
        <v>203</v>
      </c>
      <c r="E16" s="776" t="s">
        <v>21</v>
      </c>
      <c r="F16" s="494" t="s">
        <v>22</v>
      </c>
      <c r="G16" s="492" t="s">
        <v>23</v>
      </c>
      <c r="H16" s="504" t="s">
        <v>24</v>
      </c>
      <c r="I16" s="494" t="s">
        <v>25</v>
      </c>
      <c r="J16" s="496" t="s">
        <v>26</v>
      </c>
      <c r="K16" s="504" t="s">
        <v>24</v>
      </c>
      <c r="L16" s="494" t="s">
        <v>25</v>
      </c>
      <c r="M16" s="496" t="s">
        <v>26</v>
      </c>
      <c r="N16" s="504" t="s">
        <v>24</v>
      </c>
      <c r="O16" s="494" t="s">
        <v>25</v>
      </c>
      <c r="P16" s="496" t="s">
        <v>26</v>
      </c>
      <c r="Q16" s="504" t="s">
        <v>24</v>
      </c>
      <c r="R16" s="494" t="s">
        <v>25</v>
      </c>
      <c r="S16" s="496" t="s">
        <v>26</v>
      </c>
      <c r="T16" s="504" t="s">
        <v>24</v>
      </c>
      <c r="U16" s="494" t="s">
        <v>25</v>
      </c>
      <c r="V16" s="496" t="s">
        <v>26</v>
      </c>
      <c r="W16" s="504" t="s">
        <v>24</v>
      </c>
      <c r="X16" s="494" t="s">
        <v>25</v>
      </c>
      <c r="Y16" s="496" t="s">
        <v>26</v>
      </c>
      <c r="Z16" s="604" t="s">
        <v>24</v>
      </c>
      <c r="AA16" s="513" t="s">
        <v>27</v>
      </c>
    </row>
    <row r="17" spans="1:27" ht="15.75" customHeight="1">
      <c r="A17" s="775"/>
      <c r="B17" s="543"/>
      <c r="C17" s="525"/>
      <c r="D17" s="525"/>
      <c r="E17" s="777"/>
      <c r="F17" s="495"/>
      <c r="G17" s="493"/>
      <c r="H17" s="505"/>
      <c r="I17" s="495"/>
      <c r="J17" s="497"/>
      <c r="K17" s="505"/>
      <c r="L17" s="495"/>
      <c r="M17" s="497"/>
      <c r="N17" s="505"/>
      <c r="O17" s="495"/>
      <c r="P17" s="497"/>
      <c r="Q17" s="505"/>
      <c r="R17" s="495"/>
      <c r="S17" s="497"/>
      <c r="T17" s="505"/>
      <c r="U17" s="495"/>
      <c r="V17" s="497"/>
      <c r="W17" s="505"/>
      <c r="X17" s="495"/>
      <c r="Y17" s="497"/>
      <c r="Z17" s="588"/>
      <c r="AA17" s="514"/>
    </row>
    <row r="18" spans="1:27" ht="15" customHeight="1">
      <c r="A18" s="526" t="s">
        <v>204</v>
      </c>
      <c r="B18" s="540" t="s">
        <v>209</v>
      </c>
      <c r="C18" s="528">
        <v>2116</v>
      </c>
      <c r="D18" s="530" t="s">
        <v>210</v>
      </c>
      <c r="E18" s="532" t="s">
        <v>211</v>
      </c>
      <c r="F18" s="589" t="s">
        <v>204</v>
      </c>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c r="A19" s="526"/>
      <c r="B19" s="540"/>
      <c r="C19" s="528"/>
      <c r="D19" s="530"/>
      <c r="E19" s="532"/>
      <c r="F19" s="590"/>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c r="A20" s="526"/>
      <c r="B20" s="540"/>
      <c r="C20" s="528"/>
      <c r="D20" s="530"/>
      <c r="E20" s="532"/>
      <c r="F20" s="590"/>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c r="A21" s="526"/>
      <c r="B21" s="540"/>
      <c r="C21" s="528"/>
      <c r="D21" s="530"/>
      <c r="E21" s="532"/>
      <c r="F21" s="590"/>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c r="A22" s="526"/>
      <c r="B22" s="540"/>
      <c r="C22" s="528"/>
      <c r="D22" s="530"/>
      <c r="E22" s="532"/>
      <c r="F22" s="590"/>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c r="A23" s="526"/>
      <c r="B23" s="540"/>
      <c r="C23" s="528"/>
      <c r="D23" s="530"/>
      <c r="E23" s="532"/>
      <c r="F23" s="590"/>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c r="A24" s="526"/>
      <c r="B24" s="540"/>
      <c r="C24" s="528"/>
      <c r="D24" s="530"/>
      <c r="E24" s="532"/>
      <c r="F24" s="590"/>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c r="A25" s="526"/>
      <c r="B25" s="540"/>
      <c r="C25" s="528"/>
      <c r="D25" s="530"/>
      <c r="E25" s="532"/>
      <c r="F25" s="590"/>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c r="A26" s="473"/>
      <c r="B26" s="476"/>
      <c r="C26" s="479"/>
      <c r="D26" s="482"/>
      <c r="E26" s="485"/>
      <c r="F26" s="591"/>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c r="A27" s="538" t="s">
        <v>22</v>
      </c>
      <c r="B27" s="524" t="s">
        <v>18</v>
      </c>
      <c r="C27" s="524" t="s">
        <v>19</v>
      </c>
      <c r="D27" s="524" t="s">
        <v>203</v>
      </c>
      <c r="E27" s="524" t="s">
        <v>21</v>
      </c>
      <c r="F27" s="467" t="s">
        <v>22</v>
      </c>
      <c r="G27" s="492" t="s">
        <v>23</v>
      </c>
      <c r="H27" s="504" t="s">
        <v>24</v>
      </c>
      <c r="I27" s="494" t="s">
        <v>25</v>
      </c>
      <c r="J27" s="496" t="s">
        <v>26</v>
      </c>
      <c r="K27" s="504" t="s">
        <v>24</v>
      </c>
      <c r="L27" s="494" t="s">
        <v>25</v>
      </c>
      <c r="M27" s="496" t="s">
        <v>26</v>
      </c>
      <c r="N27" s="504" t="s">
        <v>24</v>
      </c>
      <c r="O27" s="494" t="s">
        <v>25</v>
      </c>
      <c r="P27" s="496" t="s">
        <v>26</v>
      </c>
      <c r="Q27" s="504" t="s">
        <v>24</v>
      </c>
      <c r="R27" s="494" t="s">
        <v>25</v>
      </c>
      <c r="S27" s="496" t="s">
        <v>26</v>
      </c>
      <c r="T27" s="504" t="s">
        <v>24</v>
      </c>
      <c r="U27" s="494" t="s">
        <v>25</v>
      </c>
      <c r="V27" s="496" t="s">
        <v>26</v>
      </c>
      <c r="W27" s="504" t="s">
        <v>24</v>
      </c>
      <c r="X27" s="494" t="s">
        <v>25</v>
      </c>
      <c r="Y27" s="496" t="s">
        <v>26</v>
      </c>
      <c r="Z27" s="536" t="s">
        <v>24</v>
      </c>
      <c r="AA27" s="513" t="s">
        <v>27</v>
      </c>
    </row>
    <row r="28" spans="1:27" ht="15.75" customHeight="1">
      <c r="A28" s="539"/>
      <c r="B28" s="525"/>
      <c r="C28" s="525"/>
      <c r="D28" s="525"/>
      <c r="E28" s="525"/>
      <c r="F28" s="468"/>
      <c r="G28" s="493"/>
      <c r="H28" s="505"/>
      <c r="I28" s="495"/>
      <c r="J28" s="497"/>
      <c r="K28" s="505"/>
      <c r="L28" s="495"/>
      <c r="M28" s="497"/>
      <c r="N28" s="505"/>
      <c r="O28" s="495"/>
      <c r="P28" s="497"/>
      <c r="Q28" s="505"/>
      <c r="R28" s="495"/>
      <c r="S28" s="497"/>
      <c r="T28" s="505"/>
      <c r="U28" s="495"/>
      <c r="V28" s="497"/>
      <c r="W28" s="505"/>
      <c r="X28" s="495"/>
      <c r="Y28" s="497"/>
      <c r="Z28" s="537"/>
      <c r="AA28" s="514"/>
    </row>
    <row r="29" spans="1:27">
      <c r="A29" s="526" t="s">
        <v>204</v>
      </c>
      <c r="B29" s="540" t="s">
        <v>212</v>
      </c>
      <c r="C29" s="528">
        <v>1109</v>
      </c>
      <c r="D29" s="530" t="s">
        <v>213</v>
      </c>
      <c r="E29" s="532" t="s">
        <v>214</v>
      </c>
      <c r="F29" s="610"/>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526"/>
      <c r="B30" s="540"/>
      <c r="C30" s="528"/>
      <c r="D30" s="530"/>
      <c r="E30" s="532"/>
      <c r="F30" s="611"/>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526"/>
      <c r="B31" s="540"/>
      <c r="C31" s="528"/>
      <c r="D31" s="530"/>
      <c r="E31" s="532"/>
      <c r="F31" s="611"/>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526"/>
      <c r="B32" s="540"/>
      <c r="C32" s="528"/>
      <c r="D32" s="530"/>
      <c r="E32" s="532"/>
      <c r="F32" s="611"/>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526"/>
      <c r="B33" s="540"/>
      <c r="C33" s="528"/>
      <c r="D33" s="530"/>
      <c r="E33" s="532"/>
      <c r="F33" s="611"/>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526"/>
      <c r="B34" s="540"/>
      <c r="C34" s="528"/>
      <c r="D34" s="530"/>
      <c r="E34" s="532"/>
      <c r="F34" s="611"/>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526"/>
      <c r="B35" s="540"/>
      <c r="C35" s="528"/>
      <c r="D35" s="530"/>
      <c r="E35" s="532"/>
      <c r="F35" s="611"/>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526"/>
      <c r="B36" s="540"/>
      <c r="C36" s="528"/>
      <c r="D36" s="530"/>
      <c r="E36" s="532"/>
      <c r="F36" s="611"/>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527"/>
      <c r="B37" s="541"/>
      <c r="C37" s="529"/>
      <c r="D37" s="531"/>
      <c r="E37" s="533"/>
      <c r="F37" s="612"/>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c r="A38" s="538" t="s">
        <v>22</v>
      </c>
      <c r="B38" s="524" t="s">
        <v>18</v>
      </c>
      <c r="C38" s="524" t="s">
        <v>19</v>
      </c>
      <c r="D38" s="524" t="s">
        <v>203</v>
      </c>
      <c r="E38" s="524" t="s">
        <v>21</v>
      </c>
      <c r="F38" s="467" t="s">
        <v>22</v>
      </c>
      <c r="G38" s="492" t="s">
        <v>23</v>
      </c>
      <c r="H38" s="504" t="s">
        <v>24</v>
      </c>
      <c r="I38" s="494" t="s">
        <v>25</v>
      </c>
      <c r="J38" s="496" t="s">
        <v>26</v>
      </c>
      <c r="K38" s="504" t="s">
        <v>24</v>
      </c>
      <c r="L38" s="494" t="s">
        <v>25</v>
      </c>
      <c r="M38" s="496" t="s">
        <v>26</v>
      </c>
      <c r="N38" s="504" t="s">
        <v>24</v>
      </c>
      <c r="O38" s="494" t="s">
        <v>25</v>
      </c>
      <c r="P38" s="496" t="s">
        <v>26</v>
      </c>
      <c r="Q38" s="504" t="s">
        <v>24</v>
      </c>
      <c r="R38" s="494" t="s">
        <v>25</v>
      </c>
      <c r="S38" s="496" t="s">
        <v>26</v>
      </c>
      <c r="T38" s="504" t="s">
        <v>24</v>
      </c>
      <c r="U38" s="494" t="s">
        <v>25</v>
      </c>
      <c r="V38" s="496" t="s">
        <v>26</v>
      </c>
      <c r="W38" s="504" t="s">
        <v>24</v>
      </c>
      <c r="X38" s="494" t="s">
        <v>25</v>
      </c>
      <c r="Y38" s="496" t="s">
        <v>26</v>
      </c>
      <c r="Z38" s="536" t="s">
        <v>24</v>
      </c>
      <c r="AA38" s="513" t="s">
        <v>27</v>
      </c>
    </row>
    <row r="39" spans="1:27" ht="15.75" customHeight="1">
      <c r="A39" s="539"/>
      <c r="B39" s="525"/>
      <c r="C39" s="525"/>
      <c r="D39" s="525"/>
      <c r="E39" s="525"/>
      <c r="F39" s="468"/>
      <c r="G39" s="493"/>
      <c r="H39" s="505"/>
      <c r="I39" s="495"/>
      <c r="J39" s="497"/>
      <c r="K39" s="505"/>
      <c r="L39" s="495"/>
      <c r="M39" s="497"/>
      <c r="N39" s="505"/>
      <c r="O39" s="495"/>
      <c r="P39" s="497"/>
      <c r="Q39" s="505"/>
      <c r="R39" s="495"/>
      <c r="S39" s="497"/>
      <c r="T39" s="505"/>
      <c r="U39" s="495"/>
      <c r="V39" s="497"/>
      <c r="W39" s="505"/>
      <c r="X39" s="495"/>
      <c r="Y39" s="497"/>
      <c r="Z39" s="537"/>
      <c r="AA39" s="514"/>
    </row>
    <row r="40" spans="1:27">
      <c r="A40" s="526" t="s">
        <v>204</v>
      </c>
      <c r="B40" s="540" t="s">
        <v>215</v>
      </c>
      <c r="C40" s="528">
        <v>2979</v>
      </c>
      <c r="D40" s="530" t="s">
        <v>216</v>
      </c>
      <c r="E40" s="532" t="s">
        <v>217</v>
      </c>
      <c r="F40" s="610" t="s">
        <v>204</v>
      </c>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c r="A41" s="526"/>
      <c r="B41" s="540"/>
      <c r="C41" s="528"/>
      <c r="D41" s="530"/>
      <c r="E41" s="532"/>
      <c r="F41" s="611"/>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c r="A42" s="526"/>
      <c r="B42" s="540"/>
      <c r="C42" s="528"/>
      <c r="D42" s="530"/>
      <c r="E42" s="532"/>
      <c r="F42" s="611"/>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c r="A43" s="526"/>
      <c r="B43" s="540"/>
      <c r="C43" s="528"/>
      <c r="D43" s="530"/>
      <c r="E43" s="532"/>
      <c r="F43" s="611"/>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c r="A44" s="526"/>
      <c r="B44" s="540"/>
      <c r="C44" s="528"/>
      <c r="D44" s="530"/>
      <c r="E44" s="532"/>
      <c r="F44" s="611"/>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c r="A45" s="526"/>
      <c r="B45" s="540"/>
      <c r="C45" s="528"/>
      <c r="D45" s="530"/>
      <c r="E45" s="532"/>
      <c r="F45" s="611"/>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c r="A46" s="526"/>
      <c r="B46" s="540"/>
      <c r="C46" s="528"/>
      <c r="D46" s="530"/>
      <c r="E46" s="532"/>
      <c r="F46" s="611"/>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c r="A47" s="526"/>
      <c r="B47" s="540"/>
      <c r="C47" s="528"/>
      <c r="D47" s="530"/>
      <c r="E47" s="532"/>
      <c r="F47" s="611"/>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c r="A48" s="527"/>
      <c r="B48" s="541"/>
      <c r="C48" s="529"/>
      <c r="D48" s="531"/>
      <c r="E48" s="533"/>
      <c r="F48" s="612"/>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c r="A49" s="538" t="s">
        <v>22</v>
      </c>
      <c r="B49" s="524" t="s">
        <v>18</v>
      </c>
      <c r="C49" s="524" t="s">
        <v>19</v>
      </c>
      <c r="D49" s="524" t="s">
        <v>203</v>
      </c>
      <c r="E49" s="524" t="s">
        <v>21</v>
      </c>
      <c r="F49" s="467" t="s">
        <v>22</v>
      </c>
      <c r="G49" s="492" t="s">
        <v>23</v>
      </c>
      <c r="H49" s="504" t="s">
        <v>24</v>
      </c>
      <c r="I49" s="494" t="s">
        <v>25</v>
      </c>
      <c r="J49" s="496" t="s">
        <v>26</v>
      </c>
      <c r="K49" s="504" t="s">
        <v>24</v>
      </c>
      <c r="L49" s="494" t="s">
        <v>25</v>
      </c>
      <c r="M49" s="496" t="s">
        <v>26</v>
      </c>
      <c r="N49" s="504" t="s">
        <v>24</v>
      </c>
      <c r="O49" s="494" t="s">
        <v>25</v>
      </c>
      <c r="P49" s="496" t="s">
        <v>26</v>
      </c>
      <c r="Q49" s="504" t="s">
        <v>24</v>
      </c>
      <c r="R49" s="494" t="s">
        <v>25</v>
      </c>
      <c r="S49" s="496" t="s">
        <v>26</v>
      </c>
      <c r="T49" s="504" t="s">
        <v>24</v>
      </c>
      <c r="U49" s="494" t="s">
        <v>25</v>
      </c>
      <c r="V49" s="496" t="s">
        <v>26</v>
      </c>
      <c r="W49" s="504" t="s">
        <v>24</v>
      </c>
      <c r="X49" s="494" t="s">
        <v>25</v>
      </c>
      <c r="Y49" s="496" t="s">
        <v>26</v>
      </c>
      <c r="Z49" s="536" t="s">
        <v>24</v>
      </c>
      <c r="AA49" s="513" t="s">
        <v>27</v>
      </c>
    </row>
    <row r="50" spans="1:27" ht="15.75" customHeight="1">
      <c r="A50" s="539"/>
      <c r="B50" s="525"/>
      <c r="C50" s="525"/>
      <c r="D50" s="525"/>
      <c r="E50" s="525"/>
      <c r="F50" s="468"/>
      <c r="G50" s="493"/>
      <c r="H50" s="505"/>
      <c r="I50" s="495"/>
      <c r="J50" s="497"/>
      <c r="K50" s="505"/>
      <c r="L50" s="495"/>
      <c r="M50" s="497"/>
      <c r="N50" s="505"/>
      <c r="O50" s="495"/>
      <c r="P50" s="497"/>
      <c r="Q50" s="505"/>
      <c r="R50" s="495"/>
      <c r="S50" s="497"/>
      <c r="T50" s="505"/>
      <c r="U50" s="495"/>
      <c r="V50" s="497"/>
      <c r="W50" s="505"/>
      <c r="X50" s="495"/>
      <c r="Y50" s="497"/>
      <c r="Z50" s="537"/>
      <c r="AA50" s="514"/>
    </row>
    <row r="51" spans="1:27" ht="15">
      <c r="A51" s="526" t="s">
        <v>204</v>
      </c>
      <c r="B51" s="540" t="s">
        <v>218</v>
      </c>
      <c r="C51" s="528">
        <v>2980</v>
      </c>
      <c r="D51" s="530" t="s">
        <v>219</v>
      </c>
      <c r="E51" s="532" t="s">
        <v>220</v>
      </c>
      <c r="F51" s="610" t="s">
        <v>204</v>
      </c>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c r="A52" s="526"/>
      <c r="B52" s="540"/>
      <c r="C52" s="528"/>
      <c r="D52" s="530"/>
      <c r="E52" s="532"/>
      <c r="F52" s="611"/>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3132000</v>
      </c>
    </row>
    <row r="53" spans="1:27">
      <c r="A53" s="526"/>
      <c r="B53" s="540"/>
      <c r="C53" s="528"/>
      <c r="D53" s="530"/>
      <c r="E53" s="532"/>
      <c r="F53" s="611"/>
      <c r="G53" s="52" t="s">
        <v>34</v>
      </c>
      <c r="H53" s="103"/>
      <c r="I53" s="75">
        <f t="shared" si="24"/>
        <v>0</v>
      </c>
      <c r="J53" s="104"/>
      <c r="K53" s="168">
        <v>320000</v>
      </c>
      <c r="L53" s="169">
        <f t="shared" si="25"/>
        <v>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c r="A54" s="526"/>
      <c r="B54" s="540"/>
      <c r="C54" s="528"/>
      <c r="D54" s="530"/>
      <c r="E54" s="532"/>
      <c r="F54" s="611"/>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2812000</v>
      </c>
    </row>
    <row r="55" spans="1:27">
      <c r="A55" s="526"/>
      <c r="B55" s="540"/>
      <c r="C55" s="528"/>
      <c r="D55" s="530"/>
      <c r="E55" s="532"/>
      <c r="F55" s="611"/>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c r="A56" s="526"/>
      <c r="B56" s="540"/>
      <c r="C56" s="528"/>
      <c r="D56" s="530"/>
      <c r="E56" s="532"/>
      <c r="F56" s="611"/>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c r="A57" s="526"/>
      <c r="B57" s="540"/>
      <c r="C57" s="528"/>
      <c r="D57" s="530"/>
      <c r="E57" s="532"/>
      <c r="F57" s="611"/>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c r="A58" s="526"/>
      <c r="B58" s="540"/>
      <c r="C58" s="528"/>
      <c r="D58" s="530"/>
      <c r="E58" s="532"/>
      <c r="F58" s="611"/>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0.10217113665389528</v>
      </c>
    </row>
    <row r="59" spans="1:27">
      <c r="A59" s="527"/>
      <c r="B59" s="541"/>
      <c r="C59" s="529"/>
      <c r="D59" s="531"/>
      <c r="E59" s="533"/>
      <c r="F59" s="612"/>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467" t="s">
        <v>22</v>
      </c>
      <c r="B60" s="490" t="s">
        <v>18</v>
      </c>
      <c r="C60" s="490" t="s">
        <v>19</v>
      </c>
      <c r="D60" s="490" t="s">
        <v>203</v>
      </c>
      <c r="E60" s="490" t="s">
        <v>21</v>
      </c>
      <c r="F60" s="467" t="s">
        <v>22</v>
      </c>
      <c r="G60" s="492" t="s">
        <v>23</v>
      </c>
      <c r="H60" s="465" t="s">
        <v>24</v>
      </c>
      <c r="I60" s="467" t="s">
        <v>25</v>
      </c>
      <c r="J60" s="469" t="s">
        <v>26</v>
      </c>
      <c r="K60" s="465" t="s">
        <v>24</v>
      </c>
      <c r="L60" s="467" t="s">
        <v>25</v>
      </c>
      <c r="M60" s="469" t="s">
        <v>26</v>
      </c>
      <c r="N60" s="465" t="s">
        <v>24</v>
      </c>
      <c r="O60" s="467" t="s">
        <v>25</v>
      </c>
      <c r="P60" s="469" t="s">
        <v>26</v>
      </c>
      <c r="Q60" s="465" t="s">
        <v>24</v>
      </c>
      <c r="R60" s="467" t="s">
        <v>25</v>
      </c>
      <c r="S60" s="469" t="s">
        <v>26</v>
      </c>
      <c r="T60" s="465" t="s">
        <v>24</v>
      </c>
      <c r="U60" s="467" t="s">
        <v>25</v>
      </c>
      <c r="V60" s="469" t="s">
        <v>26</v>
      </c>
      <c r="W60" s="465" t="s">
        <v>24</v>
      </c>
      <c r="X60" s="467" t="s">
        <v>25</v>
      </c>
      <c r="Y60" s="469" t="s">
        <v>26</v>
      </c>
      <c r="Z60" s="515" t="s">
        <v>24</v>
      </c>
      <c r="AA60" s="513" t="s">
        <v>27</v>
      </c>
    </row>
    <row r="61" spans="1:27">
      <c r="A61" s="468"/>
      <c r="B61" s="491"/>
      <c r="C61" s="491"/>
      <c r="D61" s="491"/>
      <c r="E61" s="491"/>
      <c r="F61" s="468"/>
      <c r="G61" s="493"/>
      <c r="H61" s="466"/>
      <c r="I61" s="468"/>
      <c r="J61" s="470"/>
      <c r="K61" s="466"/>
      <c r="L61" s="468"/>
      <c r="M61" s="470"/>
      <c r="N61" s="466"/>
      <c r="O61" s="468"/>
      <c r="P61" s="470"/>
      <c r="Q61" s="466"/>
      <c r="R61" s="468"/>
      <c r="S61" s="470"/>
      <c r="T61" s="466"/>
      <c r="U61" s="468"/>
      <c r="V61" s="470"/>
      <c r="W61" s="466"/>
      <c r="X61" s="468"/>
      <c r="Y61" s="470"/>
      <c r="Z61" s="516"/>
      <c r="AA61" s="514"/>
    </row>
    <row r="62" spans="1:27" ht="15" customHeight="1">
      <c r="A62" s="526" t="s">
        <v>204</v>
      </c>
      <c r="B62" s="540" t="s">
        <v>221</v>
      </c>
      <c r="C62" s="528">
        <v>2086</v>
      </c>
      <c r="D62" s="530" t="s">
        <v>222</v>
      </c>
      <c r="E62" s="532" t="s">
        <v>223</v>
      </c>
      <c r="F62" s="610" t="s">
        <v>224</v>
      </c>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c r="A63" s="526"/>
      <c r="B63" s="540"/>
      <c r="C63" s="528"/>
      <c r="D63" s="530"/>
      <c r="E63" s="532"/>
      <c r="F63" s="611"/>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10550400</v>
      </c>
    </row>
    <row r="64" spans="1:27">
      <c r="A64" s="526"/>
      <c r="B64" s="540"/>
      <c r="C64" s="528"/>
      <c r="D64" s="530"/>
      <c r="E64" s="532"/>
      <c r="F64" s="611"/>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c r="A65" s="526"/>
      <c r="B65" s="540"/>
      <c r="C65" s="528"/>
      <c r="D65" s="530"/>
      <c r="E65" s="532"/>
      <c r="F65" s="611"/>
      <c r="G65" s="52" t="s">
        <v>36</v>
      </c>
      <c r="H65" s="168"/>
      <c r="I65" s="75">
        <f t="shared" si="30"/>
        <v>0</v>
      </c>
      <c r="J65" s="104"/>
      <c r="K65" s="168">
        <v>680000</v>
      </c>
      <c r="L65" s="169">
        <f t="shared" si="31"/>
        <v>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55000</v>
      </c>
    </row>
    <row r="66" spans="1:27">
      <c r="A66" s="526"/>
      <c r="B66" s="540"/>
      <c r="C66" s="528"/>
      <c r="D66" s="530"/>
      <c r="E66" s="532"/>
      <c r="F66" s="611"/>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c r="A67" s="526"/>
      <c r="B67" s="540"/>
      <c r="C67" s="528"/>
      <c r="D67" s="530"/>
      <c r="E67" s="532"/>
      <c r="F67" s="611"/>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c r="A68" s="526"/>
      <c r="B68" s="540"/>
      <c r="C68" s="528"/>
      <c r="D68" s="530"/>
      <c r="E68" s="532"/>
      <c r="F68" s="611"/>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c r="A69" s="526"/>
      <c r="B69" s="540"/>
      <c r="C69" s="528"/>
      <c r="D69" s="530"/>
      <c r="E69" s="532"/>
      <c r="F69" s="611"/>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6.4452532605398849E-2</v>
      </c>
    </row>
    <row r="70" spans="1:27">
      <c r="A70" s="527"/>
      <c r="B70" s="541"/>
      <c r="C70" s="529"/>
      <c r="D70" s="531"/>
      <c r="E70" s="533"/>
      <c r="F70" s="612"/>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467" t="s">
        <v>22</v>
      </c>
      <c r="B71" s="490" t="s">
        <v>18</v>
      </c>
      <c r="C71" s="490" t="s">
        <v>19</v>
      </c>
      <c r="D71" s="490" t="s">
        <v>203</v>
      </c>
      <c r="E71" s="490" t="s">
        <v>21</v>
      </c>
      <c r="F71" s="467" t="s">
        <v>22</v>
      </c>
      <c r="G71" s="492" t="s">
        <v>23</v>
      </c>
      <c r="H71" s="465" t="s">
        <v>24</v>
      </c>
      <c r="I71" s="467" t="s">
        <v>25</v>
      </c>
      <c r="J71" s="469" t="s">
        <v>26</v>
      </c>
      <c r="K71" s="465" t="s">
        <v>24</v>
      </c>
      <c r="L71" s="467" t="s">
        <v>25</v>
      </c>
      <c r="M71" s="469" t="s">
        <v>26</v>
      </c>
      <c r="N71" s="465" t="s">
        <v>24</v>
      </c>
      <c r="O71" s="467" t="s">
        <v>25</v>
      </c>
      <c r="P71" s="469" t="s">
        <v>26</v>
      </c>
      <c r="Q71" s="465" t="s">
        <v>24</v>
      </c>
      <c r="R71" s="467" t="s">
        <v>25</v>
      </c>
      <c r="S71" s="469" t="s">
        <v>26</v>
      </c>
      <c r="T71" s="465" t="s">
        <v>24</v>
      </c>
      <c r="U71" s="467" t="s">
        <v>25</v>
      </c>
      <c r="V71" s="469" t="s">
        <v>26</v>
      </c>
      <c r="W71" s="465" t="s">
        <v>24</v>
      </c>
      <c r="X71" s="467" t="s">
        <v>25</v>
      </c>
      <c r="Y71" s="469" t="s">
        <v>26</v>
      </c>
      <c r="Z71" s="515" t="s">
        <v>24</v>
      </c>
      <c r="AA71" s="513" t="s">
        <v>27</v>
      </c>
    </row>
    <row r="72" spans="1:27" ht="15.75" customHeight="1">
      <c r="A72" s="468"/>
      <c r="B72" s="491"/>
      <c r="C72" s="491"/>
      <c r="D72" s="491"/>
      <c r="E72" s="491"/>
      <c r="F72" s="468"/>
      <c r="G72" s="493"/>
      <c r="H72" s="466"/>
      <c r="I72" s="468"/>
      <c r="J72" s="470"/>
      <c r="K72" s="466"/>
      <c r="L72" s="468"/>
      <c r="M72" s="470"/>
      <c r="N72" s="466"/>
      <c r="O72" s="468"/>
      <c r="P72" s="470"/>
      <c r="Q72" s="466"/>
      <c r="R72" s="468"/>
      <c r="S72" s="470"/>
      <c r="T72" s="466"/>
      <c r="U72" s="468"/>
      <c r="V72" s="470"/>
      <c r="W72" s="466"/>
      <c r="X72" s="468"/>
      <c r="Y72" s="470"/>
      <c r="Z72" s="516"/>
      <c r="AA72" s="514"/>
    </row>
    <row r="73" spans="1:27" ht="15" customHeight="1">
      <c r="A73" s="517" t="s">
        <v>88</v>
      </c>
      <c r="B73" s="476" t="s">
        <v>225</v>
      </c>
      <c r="C73" s="479">
        <v>3137</v>
      </c>
      <c r="D73" s="562"/>
      <c r="E73" s="520"/>
      <c r="F73" s="610" t="s">
        <v>204</v>
      </c>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c r="A74" s="518"/>
      <c r="B74" s="477"/>
      <c r="C74" s="480"/>
      <c r="D74" s="784"/>
      <c r="E74" s="521"/>
      <c r="F74" s="611"/>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c r="A75" s="518"/>
      <c r="B75" s="477"/>
      <c r="C75" s="480"/>
      <c r="D75" s="784"/>
      <c r="E75" s="521"/>
      <c r="F75" s="611"/>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c r="A76" s="518"/>
      <c r="B76" s="477"/>
      <c r="C76" s="480"/>
      <c r="D76" s="784"/>
      <c r="E76" s="521"/>
      <c r="F76" s="611"/>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c r="A77" s="518"/>
      <c r="B77" s="477"/>
      <c r="C77" s="480"/>
      <c r="D77" s="784"/>
      <c r="E77" s="521"/>
      <c r="F77" s="611"/>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c r="A78" s="518"/>
      <c r="B78" s="477"/>
      <c r="C78" s="480"/>
      <c r="D78" s="784"/>
      <c r="E78" s="521"/>
      <c r="F78" s="611"/>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c r="A79" s="518"/>
      <c r="B79" s="477"/>
      <c r="C79" s="480"/>
      <c r="D79" s="784"/>
      <c r="E79" s="521"/>
      <c r="F79" s="611"/>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c r="A80" s="518"/>
      <c r="B80" s="477"/>
      <c r="C80" s="480"/>
      <c r="D80" s="784"/>
      <c r="E80" s="521"/>
      <c r="F80" s="611"/>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c r="A81" s="519"/>
      <c r="B81" s="478"/>
      <c r="C81" s="481"/>
      <c r="D81" s="785"/>
      <c r="E81" s="522"/>
      <c r="F81" s="612"/>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774" t="s">
        <v>22</v>
      </c>
      <c r="B82" s="542" t="s">
        <v>18</v>
      </c>
      <c r="C82" s="524" t="s">
        <v>19</v>
      </c>
      <c r="D82" s="524" t="s">
        <v>203</v>
      </c>
      <c r="E82" s="776" t="s">
        <v>21</v>
      </c>
      <c r="F82" s="494" t="s">
        <v>22</v>
      </c>
      <c r="G82" s="492" t="s">
        <v>23</v>
      </c>
      <c r="H82" s="504" t="s">
        <v>24</v>
      </c>
      <c r="I82" s="494" t="s">
        <v>25</v>
      </c>
      <c r="J82" s="496" t="s">
        <v>26</v>
      </c>
      <c r="K82" s="504" t="s">
        <v>24</v>
      </c>
      <c r="L82" s="494" t="s">
        <v>25</v>
      </c>
      <c r="M82" s="496" t="s">
        <v>26</v>
      </c>
      <c r="N82" s="504" t="s">
        <v>24</v>
      </c>
      <c r="O82" s="494" t="s">
        <v>25</v>
      </c>
      <c r="P82" s="496" t="s">
        <v>26</v>
      </c>
      <c r="Q82" s="504" t="s">
        <v>24</v>
      </c>
      <c r="R82" s="494" t="s">
        <v>25</v>
      </c>
      <c r="S82" s="496" t="s">
        <v>26</v>
      </c>
      <c r="T82" s="504" t="s">
        <v>24</v>
      </c>
      <c r="U82" s="494" t="s">
        <v>25</v>
      </c>
      <c r="V82" s="496" t="s">
        <v>26</v>
      </c>
      <c r="W82" s="504" t="s">
        <v>24</v>
      </c>
      <c r="X82" s="494" t="s">
        <v>25</v>
      </c>
      <c r="Y82" s="496" t="s">
        <v>26</v>
      </c>
      <c r="Z82" s="604" t="s">
        <v>24</v>
      </c>
      <c r="AA82" s="513" t="s">
        <v>27</v>
      </c>
    </row>
    <row r="83" spans="1:27" ht="15.75" customHeight="1">
      <c r="A83" s="775"/>
      <c r="B83" s="543"/>
      <c r="C83" s="525"/>
      <c r="D83" s="525"/>
      <c r="E83" s="777"/>
      <c r="F83" s="495"/>
      <c r="G83" s="493"/>
      <c r="H83" s="505"/>
      <c r="I83" s="495"/>
      <c r="J83" s="497"/>
      <c r="K83" s="505"/>
      <c r="L83" s="495"/>
      <c r="M83" s="497"/>
      <c r="N83" s="505"/>
      <c r="O83" s="495"/>
      <c r="P83" s="497"/>
      <c r="Q83" s="505"/>
      <c r="R83" s="495"/>
      <c r="S83" s="497"/>
      <c r="T83" s="505"/>
      <c r="U83" s="495"/>
      <c r="V83" s="497"/>
      <c r="W83" s="505"/>
      <c r="X83" s="495"/>
      <c r="Y83" s="497"/>
      <c r="Z83" s="588"/>
      <c r="AA83" s="514"/>
    </row>
    <row r="84" spans="1:27" ht="15" customHeight="1">
      <c r="A84" s="760" t="s">
        <v>204</v>
      </c>
      <c r="B84" s="763" t="s">
        <v>226</v>
      </c>
      <c r="C84" s="766">
        <v>3121</v>
      </c>
      <c r="D84" s="769" t="s">
        <v>227</v>
      </c>
      <c r="E84" s="716"/>
      <c r="F84" s="589" t="s">
        <v>228</v>
      </c>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c r="A85" s="761"/>
      <c r="B85" s="764"/>
      <c r="C85" s="767"/>
      <c r="D85" s="770"/>
      <c r="E85" s="772"/>
      <c r="F85" s="590"/>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c r="A86" s="761"/>
      <c r="B86" s="764"/>
      <c r="C86" s="767"/>
      <c r="D86" s="770"/>
      <c r="E86" s="772"/>
      <c r="F86" s="590"/>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c r="A87" s="761"/>
      <c r="B87" s="764"/>
      <c r="C87" s="767"/>
      <c r="D87" s="770"/>
      <c r="E87" s="772"/>
      <c r="F87" s="590"/>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c r="A88" s="761"/>
      <c r="B88" s="764"/>
      <c r="C88" s="767"/>
      <c r="D88" s="770"/>
      <c r="E88" s="772"/>
      <c r="F88" s="590"/>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c r="A89" s="761"/>
      <c r="B89" s="764"/>
      <c r="C89" s="767"/>
      <c r="D89" s="770"/>
      <c r="E89" s="772"/>
      <c r="F89" s="590"/>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c r="A90" s="761"/>
      <c r="B90" s="764"/>
      <c r="C90" s="767"/>
      <c r="D90" s="770"/>
      <c r="E90" s="772"/>
      <c r="F90" s="590"/>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c r="A91" s="761"/>
      <c r="B91" s="764"/>
      <c r="C91" s="767"/>
      <c r="D91" s="770"/>
      <c r="E91" s="772"/>
      <c r="F91" s="590"/>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c r="A92" s="778"/>
      <c r="B92" s="779"/>
      <c r="C92" s="780"/>
      <c r="D92" s="781"/>
      <c r="E92" s="782"/>
      <c r="F92" s="783"/>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774" t="s">
        <v>22</v>
      </c>
      <c r="B93" s="542" t="s">
        <v>18</v>
      </c>
      <c r="C93" s="524" t="s">
        <v>19</v>
      </c>
      <c r="D93" s="524" t="s">
        <v>203</v>
      </c>
      <c r="E93" s="776" t="s">
        <v>21</v>
      </c>
      <c r="F93" s="494" t="s">
        <v>22</v>
      </c>
      <c r="G93" s="492" t="s">
        <v>23</v>
      </c>
      <c r="H93" s="504" t="s">
        <v>24</v>
      </c>
      <c r="I93" s="494" t="s">
        <v>25</v>
      </c>
      <c r="J93" s="496" t="s">
        <v>26</v>
      </c>
      <c r="K93" s="504" t="s">
        <v>24</v>
      </c>
      <c r="L93" s="494" t="s">
        <v>25</v>
      </c>
      <c r="M93" s="496" t="s">
        <v>26</v>
      </c>
      <c r="N93" s="504" t="s">
        <v>24</v>
      </c>
      <c r="O93" s="494" t="s">
        <v>25</v>
      </c>
      <c r="P93" s="496" t="s">
        <v>26</v>
      </c>
      <c r="Q93" s="504" t="s">
        <v>24</v>
      </c>
      <c r="R93" s="494" t="s">
        <v>25</v>
      </c>
      <c r="S93" s="496" t="s">
        <v>26</v>
      </c>
      <c r="T93" s="504" t="s">
        <v>24</v>
      </c>
      <c r="U93" s="494" t="s">
        <v>25</v>
      </c>
      <c r="V93" s="496" t="s">
        <v>26</v>
      </c>
      <c r="W93" s="504" t="s">
        <v>24</v>
      </c>
      <c r="X93" s="494" t="s">
        <v>25</v>
      </c>
      <c r="Y93" s="496" t="s">
        <v>26</v>
      </c>
      <c r="Z93" s="536" t="s">
        <v>24</v>
      </c>
      <c r="AA93" s="513" t="s">
        <v>27</v>
      </c>
    </row>
    <row r="94" spans="1:27" ht="15" customHeight="1">
      <c r="A94" s="775"/>
      <c r="B94" s="543"/>
      <c r="C94" s="525"/>
      <c r="D94" s="525"/>
      <c r="E94" s="777"/>
      <c r="F94" s="495"/>
      <c r="G94" s="493"/>
      <c r="H94" s="505"/>
      <c r="I94" s="495"/>
      <c r="J94" s="497"/>
      <c r="K94" s="505"/>
      <c r="L94" s="495"/>
      <c r="M94" s="497"/>
      <c r="N94" s="505"/>
      <c r="O94" s="495"/>
      <c r="P94" s="497"/>
      <c r="Q94" s="505"/>
      <c r="R94" s="495"/>
      <c r="S94" s="497"/>
      <c r="T94" s="505"/>
      <c r="U94" s="495"/>
      <c r="V94" s="497"/>
      <c r="W94" s="505"/>
      <c r="X94" s="495"/>
      <c r="Y94" s="497"/>
      <c r="Z94" s="537"/>
      <c r="AA94" s="514"/>
    </row>
    <row r="95" spans="1:27" ht="15" customHeight="1">
      <c r="A95" s="760" t="s">
        <v>204</v>
      </c>
      <c r="B95" s="763" t="s">
        <v>229</v>
      </c>
      <c r="C95" s="766">
        <v>3308</v>
      </c>
      <c r="D95" s="769" t="s">
        <v>230</v>
      </c>
      <c r="E95" s="716"/>
      <c r="F95" s="589"/>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c r="A96" s="761"/>
      <c r="B96" s="764"/>
      <c r="C96" s="767"/>
      <c r="D96" s="770"/>
      <c r="E96" s="772"/>
      <c r="F96" s="590"/>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c r="A97" s="761"/>
      <c r="B97" s="764"/>
      <c r="C97" s="767"/>
      <c r="D97" s="770"/>
      <c r="E97" s="772"/>
      <c r="F97" s="590"/>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c r="A98" s="761"/>
      <c r="B98" s="764"/>
      <c r="C98" s="767"/>
      <c r="D98" s="770"/>
      <c r="E98" s="772"/>
      <c r="F98" s="590"/>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761"/>
      <c r="B99" s="764"/>
      <c r="C99" s="767"/>
      <c r="D99" s="770"/>
      <c r="E99" s="772"/>
      <c r="F99" s="590"/>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c r="A100" s="761"/>
      <c r="B100" s="764"/>
      <c r="C100" s="767"/>
      <c r="D100" s="770"/>
      <c r="E100" s="772"/>
      <c r="F100" s="590"/>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c r="A101" s="761"/>
      <c r="B101" s="764"/>
      <c r="C101" s="767"/>
      <c r="D101" s="770"/>
      <c r="E101" s="772"/>
      <c r="F101" s="590"/>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c r="A102" s="761"/>
      <c r="B102" s="764"/>
      <c r="C102" s="767"/>
      <c r="D102" s="770"/>
      <c r="E102" s="772"/>
      <c r="F102" s="590"/>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778"/>
      <c r="B103" s="779"/>
      <c r="C103" s="780"/>
      <c r="D103" s="781"/>
      <c r="E103" s="782"/>
      <c r="F103" s="783"/>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774" t="s">
        <v>22</v>
      </c>
      <c r="B104" s="542" t="s">
        <v>18</v>
      </c>
      <c r="C104" s="524" t="s">
        <v>19</v>
      </c>
      <c r="D104" s="524" t="s">
        <v>203</v>
      </c>
      <c r="E104" s="776" t="s">
        <v>21</v>
      </c>
      <c r="F104" s="494" t="s">
        <v>22</v>
      </c>
      <c r="G104" s="492" t="s">
        <v>23</v>
      </c>
      <c r="H104" s="504" t="s">
        <v>24</v>
      </c>
      <c r="I104" s="494" t="s">
        <v>25</v>
      </c>
      <c r="J104" s="496" t="s">
        <v>26</v>
      </c>
      <c r="K104" s="504" t="s">
        <v>24</v>
      </c>
      <c r="L104" s="494" t="s">
        <v>25</v>
      </c>
      <c r="M104" s="496" t="s">
        <v>26</v>
      </c>
      <c r="N104" s="504" t="s">
        <v>24</v>
      </c>
      <c r="O104" s="494" t="s">
        <v>25</v>
      </c>
      <c r="P104" s="496" t="s">
        <v>26</v>
      </c>
      <c r="Q104" s="504" t="s">
        <v>24</v>
      </c>
      <c r="R104" s="494" t="s">
        <v>25</v>
      </c>
      <c r="S104" s="496" t="s">
        <v>26</v>
      </c>
      <c r="T104" s="504" t="s">
        <v>24</v>
      </c>
      <c r="U104" s="494" t="s">
        <v>25</v>
      </c>
      <c r="V104" s="496" t="s">
        <v>26</v>
      </c>
      <c r="W104" s="504" t="s">
        <v>24</v>
      </c>
      <c r="X104" s="494" t="s">
        <v>25</v>
      </c>
      <c r="Y104" s="496" t="s">
        <v>26</v>
      </c>
      <c r="Z104" s="604" t="s">
        <v>24</v>
      </c>
      <c r="AA104" s="513" t="s">
        <v>27</v>
      </c>
    </row>
    <row r="105" spans="1:27" ht="15.75" customHeight="1">
      <c r="A105" s="775"/>
      <c r="B105" s="543"/>
      <c r="C105" s="525"/>
      <c r="D105" s="525"/>
      <c r="E105" s="777"/>
      <c r="F105" s="495"/>
      <c r="G105" s="493"/>
      <c r="H105" s="505"/>
      <c r="I105" s="495"/>
      <c r="J105" s="497"/>
      <c r="K105" s="505"/>
      <c r="L105" s="495"/>
      <c r="M105" s="497"/>
      <c r="N105" s="505"/>
      <c r="O105" s="495"/>
      <c r="P105" s="497"/>
      <c r="Q105" s="505"/>
      <c r="R105" s="495"/>
      <c r="S105" s="497"/>
      <c r="T105" s="505"/>
      <c r="U105" s="495"/>
      <c r="V105" s="497"/>
      <c r="W105" s="505"/>
      <c r="X105" s="495"/>
      <c r="Y105" s="497"/>
      <c r="Z105" s="588"/>
      <c r="AA105" s="514"/>
    </row>
    <row r="106" spans="1:27" ht="15" customHeight="1">
      <c r="A106" s="760" t="s">
        <v>88</v>
      </c>
      <c r="B106" s="763" t="s">
        <v>231</v>
      </c>
      <c r="C106" s="766">
        <v>3129</v>
      </c>
      <c r="D106" s="769"/>
      <c r="E106" s="716"/>
      <c r="F106" s="589"/>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761"/>
      <c r="B107" s="764"/>
      <c r="C107" s="767"/>
      <c r="D107" s="770"/>
      <c r="E107" s="772"/>
      <c r="F107" s="590"/>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761"/>
      <c r="B108" s="764"/>
      <c r="C108" s="767"/>
      <c r="D108" s="770"/>
      <c r="E108" s="772"/>
      <c r="F108" s="590"/>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761"/>
      <c r="B109" s="764"/>
      <c r="C109" s="767"/>
      <c r="D109" s="770"/>
      <c r="E109" s="772"/>
      <c r="F109" s="590"/>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0</v>
      </c>
    </row>
    <row r="110" spans="1:27">
      <c r="A110" s="761"/>
      <c r="B110" s="764"/>
      <c r="C110" s="767"/>
      <c r="D110" s="770"/>
      <c r="E110" s="772"/>
      <c r="F110" s="590"/>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761"/>
      <c r="B111" s="764"/>
      <c r="C111" s="767"/>
      <c r="D111" s="770"/>
      <c r="E111" s="772"/>
      <c r="F111" s="590"/>
      <c r="G111" s="52" t="s">
        <v>40</v>
      </c>
      <c r="H111" s="13"/>
      <c r="I111" s="11">
        <f t="shared" si="54"/>
        <v>0</v>
      </c>
      <c r="J111" s="12"/>
      <c r="K111" s="177"/>
      <c r="L111" s="11">
        <f t="shared" si="55"/>
        <v>0</v>
      </c>
      <c r="M111" s="12"/>
      <c r="N111" s="177">
        <v>121165</v>
      </c>
      <c r="O111" s="166">
        <f t="shared" si="56"/>
        <v>0</v>
      </c>
      <c r="P111" s="167">
        <v>121165</v>
      </c>
      <c r="Q111" s="13"/>
      <c r="R111" s="11">
        <f t="shared" si="57"/>
        <v>0</v>
      </c>
      <c r="S111" s="12"/>
      <c r="T111" s="13"/>
      <c r="U111" s="11">
        <f t="shared" si="58"/>
        <v>0</v>
      </c>
      <c r="V111" s="12"/>
      <c r="W111" s="13"/>
      <c r="X111" s="11">
        <f t="shared" si="59"/>
        <v>0</v>
      </c>
      <c r="Y111" s="12"/>
      <c r="Z111" s="14"/>
      <c r="AA111" s="63">
        <f>SUM(J106:J114,M106:M114,P106:P114,S106:S114,V106:V114,Y106:Y114)</f>
        <v>121165</v>
      </c>
    </row>
    <row r="112" spans="1:27">
      <c r="A112" s="761"/>
      <c r="B112" s="764"/>
      <c r="C112" s="767"/>
      <c r="D112" s="770"/>
      <c r="E112" s="772"/>
      <c r="F112" s="590"/>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761"/>
      <c r="B113" s="764"/>
      <c r="C113" s="767"/>
      <c r="D113" s="770"/>
      <c r="E113" s="772"/>
      <c r="F113" s="590"/>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1</v>
      </c>
    </row>
    <row r="114" spans="1:27">
      <c r="A114" s="762"/>
      <c r="B114" s="765"/>
      <c r="C114" s="768"/>
      <c r="D114" s="771"/>
      <c r="E114" s="773"/>
      <c r="F114" s="591"/>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c r="A115" s="774" t="s">
        <v>22</v>
      </c>
      <c r="B115" s="542" t="s">
        <v>18</v>
      </c>
      <c r="C115" s="524" t="s">
        <v>19</v>
      </c>
      <c r="D115" s="524" t="s">
        <v>203</v>
      </c>
      <c r="E115" s="776" t="s">
        <v>21</v>
      </c>
      <c r="F115" s="494" t="s">
        <v>22</v>
      </c>
      <c r="G115" s="492" t="s">
        <v>23</v>
      </c>
      <c r="H115" s="504" t="s">
        <v>24</v>
      </c>
      <c r="I115" s="494" t="s">
        <v>25</v>
      </c>
      <c r="J115" s="496" t="s">
        <v>26</v>
      </c>
      <c r="K115" s="504" t="s">
        <v>24</v>
      </c>
      <c r="L115" s="494" t="s">
        <v>25</v>
      </c>
      <c r="M115" s="496" t="s">
        <v>26</v>
      </c>
      <c r="N115" s="504" t="s">
        <v>24</v>
      </c>
      <c r="O115" s="494" t="s">
        <v>25</v>
      </c>
      <c r="P115" s="496" t="s">
        <v>26</v>
      </c>
      <c r="Q115" s="504" t="s">
        <v>24</v>
      </c>
      <c r="R115" s="494" t="s">
        <v>25</v>
      </c>
      <c r="S115" s="496" t="s">
        <v>26</v>
      </c>
      <c r="T115" s="504" t="s">
        <v>24</v>
      </c>
      <c r="U115" s="494" t="s">
        <v>25</v>
      </c>
      <c r="V115" s="496" t="s">
        <v>26</v>
      </c>
      <c r="W115" s="504" t="s">
        <v>24</v>
      </c>
      <c r="X115" s="494" t="s">
        <v>25</v>
      </c>
      <c r="Y115" s="496" t="s">
        <v>26</v>
      </c>
      <c r="Z115" s="604" t="s">
        <v>24</v>
      </c>
      <c r="AA115" s="513" t="s">
        <v>27</v>
      </c>
    </row>
    <row r="116" spans="1:27" ht="15.75" customHeight="1">
      <c r="A116" s="775"/>
      <c r="B116" s="543"/>
      <c r="C116" s="525"/>
      <c r="D116" s="525"/>
      <c r="E116" s="777"/>
      <c r="F116" s="495"/>
      <c r="G116" s="493"/>
      <c r="H116" s="505"/>
      <c r="I116" s="495"/>
      <c r="J116" s="497"/>
      <c r="K116" s="505"/>
      <c r="L116" s="495"/>
      <c r="M116" s="497"/>
      <c r="N116" s="505"/>
      <c r="O116" s="495"/>
      <c r="P116" s="497"/>
      <c r="Q116" s="505"/>
      <c r="R116" s="495"/>
      <c r="S116" s="497"/>
      <c r="T116" s="505"/>
      <c r="U116" s="495"/>
      <c r="V116" s="497"/>
      <c r="W116" s="505"/>
      <c r="X116" s="495"/>
      <c r="Y116" s="497"/>
      <c r="Z116" s="588"/>
      <c r="AA116" s="514"/>
    </row>
    <row r="117" spans="1:27" ht="15" customHeight="1">
      <c r="A117" s="760" t="s">
        <v>208</v>
      </c>
      <c r="B117" s="763" t="s">
        <v>232</v>
      </c>
      <c r="C117" s="766">
        <v>3109</v>
      </c>
      <c r="D117" s="769"/>
      <c r="E117" s="716"/>
      <c r="F117" s="589"/>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761"/>
      <c r="B118" s="764"/>
      <c r="C118" s="767"/>
      <c r="D118" s="770"/>
      <c r="E118" s="772"/>
      <c r="F118" s="590"/>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761"/>
      <c r="B119" s="764"/>
      <c r="C119" s="767"/>
      <c r="D119" s="770"/>
      <c r="E119" s="772"/>
      <c r="F119" s="590"/>
      <c r="G119" s="52" t="s">
        <v>34</v>
      </c>
      <c r="H119" s="13"/>
      <c r="I119" s="11">
        <f t="shared" si="60"/>
        <v>0</v>
      </c>
      <c r="J119" s="12"/>
      <c r="K119" s="177"/>
      <c r="L119" s="166">
        <f>K119-M119</f>
        <v>0</v>
      </c>
      <c r="M119" s="167"/>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761"/>
      <c r="B120" s="764"/>
      <c r="C120" s="767"/>
      <c r="D120" s="770"/>
      <c r="E120" s="772"/>
      <c r="F120" s="590"/>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761"/>
      <c r="B121" s="764"/>
      <c r="C121" s="767"/>
      <c r="D121" s="770"/>
      <c r="E121" s="772"/>
      <c r="F121" s="590"/>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761"/>
      <c r="B122" s="764"/>
      <c r="C122" s="767"/>
      <c r="D122" s="770"/>
      <c r="E122" s="772"/>
      <c r="F122" s="590"/>
      <c r="G122" s="52" t="s">
        <v>40</v>
      </c>
      <c r="H122" s="13"/>
      <c r="I122" s="11">
        <f t="shared" si="60"/>
        <v>0</v>
      </c>
      <c r="J122" s="12"/>
      <c r="K122" s="13"/>
      <c r="L122" s="11">
        <f t="shared" si="61"/>
        <v>0</v>
      </c>
      <c r="M122" s="12"/>
      <c r="N122" s="13"/>
      <c r="O122" s="11">
        <f t="shared" si="62"/>
        <v>0</v>
      </c>
      <c r="P122" s="12"/>
      <c r="Q122" s="177"/>
      <c r="R122" s="166">
        <f t="shared" si="63"/>
        <v>0</v>
      </c>
      <c r="S122" s="167"/>
      <c r="T122" s="177"/>
      <c r="U122" s="11">
        <f t="shared" si="64"/>
        <v>0</v>
      </c>
      <c r="V122" s="12"/>
      <c r="W122" s="177"/>
      <c r="X122" s="11">
        <f t="shared" si="65"/>
        <v>0</v>
      </c>
      <c r="Y122" s="12"/>
      <c r="Z122" s="14"/>
      <c r="AA122" s="63">
        <f>SUM(J117:J125,M117:M125,P117:P125,S117:S125,V117:V125,Y117:Y125)</f>
        <v>0</v>
      </c>
    </row>
    <row r="123" spans="1:27">
      <c r="A123" s="761"/>
      <c r="B123" s="764"/>
      <c r="C123" s="767"/>
      <c r="D123" s="770"/>
      <c r="E123" s="772"/>
      <c r="F123" s="590"/>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761"/>
      <c r="B124" s="764"/>
      <c r="C124" s="767"/>
      <c r="D124" s="770"/>
      <c r="E124" s="772"/>
      <c r="F124" s="590"/>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762"/>
      <c r="B125" s="765"/>
      <c r="C125" s="768"/>
      <c r="D125" s="771"/>
      <c r="E125" s="773"/>
      <c r="F125" s="591"/>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233</v>
      </c>
      <c r="H126" s="58">
        <f>SUM(H5:H125)</f>
        <v>32000</v>
      </c>
      <c r="I126" s="56">
        <f t="shared" ref="I126:Z126" si="66">SUM(I5:I125)</f>
        <v>0</v>
      </c>
      <c r="J126" s="57">
        <f t="shared" si="66"/>
        <v>32000</v>
      </c>
      <c r="K126" s="58">
        <f>SUM(K5:K125)</f>
        <v>1969354</v>
      </c>
      <c r="L126" s="56">
        <f>SUM(L5:L125)</f>
        <v>346000</v>
      </c>
      <c r="M126" s="57">
        <f t="shared" si="66"/>
        <v>1623354</v>
      </c>
      <c r="N126" s="58">
        <f>SUM(N5:N125)</f>
        <v>9955540</v>
      </c>
      <c r="O126" s="56">
        <f t="shared" si="66"/>
        <v>9834375</v>
      </c>
      <c r="P126" s="57">
        <f t="shared" si="66"/>
        <v>121165</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0.17569213051589505</v>
      </c>
      <c r="M127" s="32">
        <f>M126/K126</f>
        <v>0.82430786948410495</v>
      </c>
      <c r="N127" s="59"/>
      <c r="O127" s="33">
        <f>O126/N126</f>
        <v>0.98782938946556387</v>
      </c>
      <c r="P127" s="32">
        <f>P126/N126</f>
        <v>1.2170610534436103E-2</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632" t="s">
        <v>234</v>
      </c>
      <c r="F128" s="633"/>
      <c r="G128" s="759"/>
      <c r="H128" s="752" t="s">
        <v>234</v>
      </c>
      <c r="I128" s="753"/>
      <c r="J128" s="754"/>
      <c r="K128" s="752" t="s">
        <v>234</v>
      </c>
      <c r="L128" s="753"/>
      <c r="M128" s="754"/>
      <c r="N128" s="752" t="s">
        <v>234</v>
      </c>
      <c r="O128" s="753"/>
      <c r="P128" s="754"/>
      <c r="Q128" s="752" t="s">
        <v>234</v>
      </c>
      <c r="R128" s="753"/>
      <c r="S128" s="754"/>
      <c r="T128" s="752" t="s">
        <v>234</v>
      </c>
      <c r="U128" s="753"/>
      <c r="V128" s="754"/>
      <c r="W128" s="752" t="s">
        <v>234</v>
      </c>
      <c r="X128" s="753"/>
      <c r="Y128" s="754"/>
      <c r="Z128" s="755" t="s">
        <v>17</v>
      </c>
      <c r="AA128" s="756"/>
    </row>
    <row r="129" spans="1:30" ht="33" customHeight="1">
      <c r="A129"/>
      <c r="B129" s="179"/>
      <c r="E129" s="757" t="s">
        <v>235</v>
      </c>
      <c r="F129" s="757"/>
      <c r="G129" s="758"/>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236</v>
      </c>
    </row>
    <row r="130" spans="1:30">
      <c r="A130"/>
      <c r="E130" s="656" t="s">
        <v>136</v>
      </c>
      <c r="F130" s="657"/>
      <c r="G130" s="750"/>
      <c r="H130" s="745" t="s">
        <v>136</v>
      </c>
      <c r="I130" s="746"/>
      <c r="J130" s="746"/>
      <c r="K130" s="745" t="s">
        <v>136</v>
      </c>
      <c r="L130" s="746"/>
      <c r="M130" s="747"/>
      <c r="N130" s="745" t="s">
        <v>136</v>
      </c>
      <c r="O130" s="746"/>
      <c r="P130" s="746"/>
      <c r="Q130" s="745" t="s">
        <v>136</v>
      </c>
      <c r="R130" s="746"/>
      <c r="S130" s="747"/>
      <c r="T130" s="745" t="s">
        <v>136</v>
      </c>
      <c r="U130" s="746"/>
      <c r="V130" s="747"/>
      <c r="W130" s="745" t="s">
        <v>136</v>
      </c>
      <c r="X130" s="746"/>
      <c r="Y130" s="747"/>
      <c r="Z130" s="748" t="s">
        <v>137</v>
      </c>
      <c r="AA130" s="749"/>
    </row>
    <row r="131" spans="1:30" ht="33" customHeight="1">
      <c r="A131"/>
      <c r="E131" s="627" t="s">
        <v>237</v>
      </c>
      <c r="F131" s="627"/>
      <c r="G131" s="751"/>
      <c r="H131" s="30"/>
      <c r="J131" s="181">
        <v>5414996</v>
      </c>
      <c r="K131" s="30"/>
      <c r="M131" s="34">
        <f>SUM(J136)</f>
        <v>8070193</v>
      </c>
      <c r="N131" s="30"/>
      <c r="P131" s="34">
        <f>SUM(M136)</f>
        <v>8841779.9399999995</v>
      </c>
      <c r="Q131" s="30"/>
      <c r="S131" s="34">
        <f>SUM(P136)</f>
        <v>1681999.6987999994</v>
      </c>
      <c r="T131" s="30"/>
      <c r="V131" s="34">
        <f>SUM(S136)</f>
        <v>4397759.4575999994</v>
      </c>
      <c r="W131" s="30"/>
      <c r="Y131" s="34">
        <f>SUM(V136)</f>
        <v>4497519.2163999993</v>
      </c>
      <c r="Z131" s="442">
        <f>Y136</f>
        <v>3533278.9751999993</v>
      </c>
      <c r="AA131" s="54"/>
    </row>
    <row r="132" spans="1:30">
      <c r="A132"/>
      <c r="C132" s="35"/>
      <c r="E132" s="629" t="s">
        <v>238</v>
      </c>
      <c r="F132" s="629"/>
      <c r="G132" s="660"/>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629" t="s">
        <v>239</v>
      </c>
      <c r="F133" s="629"/>
      <c r="G133" s="660"/>
      <c r="H133" s="30"/>
      <c r="J133" s="36">
        <f>SUM(J131:J132)</f>
        <v>8102193</v>
      </c>
      <c r="K133" s="30"/>
      <c r="M133" s="36">
        <f>SUM(M131:M132)</f>
        <v>10811133.939999999</v>
      </c>
      <c r="N133" s="30"/>
      <c r="P133" s="36">
        <f>SUM(P131:P132)</f>
        <v>11637539.698799999</v>
      </c>
      <c r="Q133" s="30"/>
      <c r="S133" s="36">
        <f>SUM(S131:S132)</f>
        <v>4477759.4575999994</v>
      </c>
      <c r="T133" s="30"/>
      <c r="V133" s="36">
        <f>SUM(V131:V132)</f>
        <v>7193519.2163999993</v>
      </c>
      <c r="W133" s="30"/>
      <c r="Y133" s="36">
        <f>SUM(Y131:Y132)</f>
        <v>7293278.9751999993</v>
      </c>
      <c r="Z133" s="72">
        <f>SUM(Z129,Z131)</f>
        <v>6329038.9751999993</v>
      </c>
      <c r="AA133" s="31" t="s">
        <v>139</v>
      </c>
    </row>
    <row r="134" spans="1:30">
      <c r="A134"/>
      <c r="E134" s="629" t="s">
        <v>140</v>
      </c>
      <c r="F134" s="629"/>
      <c r="G134" s="660"/>
      <c r="H134" s="30"/>
      <c r="J134" s="34">
        <f>I126*-1</f>
        <v>0</v>
      </c>
      <c r="K134" s="30"/>
      <c r="M134" s="34">
        <f>L126*-1</f>
        <v>-346000</v>
      </c>
      <c r="N134" s="30"/>
      <c r="P134" s="34">
        <f>O126*-1</f>
        <v>-9834375</v>
      </c>
      <c r="Q134" s="30"/>
      <c r="S134" s="34">
        <f>R126*-1</f>
        <v>-80000</v>
      </c>
      <c r="T134" s="30"/>
      <c r="V134" s="34">
        <f>U126*-1</f>
        <v>-2696000</v>
      </c>
      <c r="W134" s="30"/>
      <c r="Y134" s="34">
        <f>X126*-1</f>
        <v>-3760000</v>
      </c>
      <c r="Z134" s="37">
        <f>SUM(Z18:Z125)</f>
        <v>9815400</v>
      </c>
      <c r="AA134" s="73" t="s">
        <v>141</v>
      </c>
    </row>
    <row r="135" spans="1:30">
      <c r="A135"/>
      <c r="E135" s="623" t="s">
        <v>142</v>
      </c>
      <c r="F135" s="623"/>
      <c r="G135" s="741"/>
      <c r="H135" s="61"/>
      <c r="I135" s="62"/>
      <c r="J135" s="38">
        <f>J126*-1</f>
        <v>-32000</v>
      </c>
      <c r="K135" s="61"/>
      <c r="L135" s="62"/>
      <c r="M135" s="38">
        <f>M126*-1</f>
        <v>-1623354</v>
      </c>
      <c r="N135" s="61"/>
      <c r="O135" s="62"/>
      <c r="P135" s="38">
        <f>P126*-1</f>
        <v>-121165</v>
      </c>
      <c r="Q135" s="61"/>
      <c r="R135" s="62"/>
      <c r="S135" s="38">
        <f>S126*-1</f>
        <v>0</v>
      </c>
      <c r="T135" s="61"/>
      <c r="U135" s="62"/>
      <c r="V135" s="38">
        <f>V126*-1</f>
        <v>0</v>
      </c>
      <c r="W135" s="61"/>
      <c r="X135" s="62"/>
      <c r="Y135" s="38">
        <f>Y126*-1</f>
        <v>0</v>
      </c>
      <c r="Z135" s="61"/>
      <c r="AA135" s="74"/>
    </row>
    <row r="136" spans="1:30">
      <c r="A136"/>
      <c r="E136" s="742" t="s">
        <v>240</v>
      </c>
      <c r="F136" s="743"/>
      <c r="G136" s="744"/>
      <c r="H136" s="40"/>
      <c r="I136" s="41"/>
      <c r="J136" s="42">
        <f>SUM(J133:J135)</f>
        <v>8070193</v>
      </c>
      <c r="K136" s="40"/>
      <c r="L136" s="41"/>
      <c r="M136" s="42">
        <f>SUM(M133:M135)</f>
        <v>8841779.9399999995</v>
      </c>
      <c r="N136" s="40"/>
      <c r="O136" s="41"/>
      <c r="P136" s="42">
        <f>SUM(P133:P135)</f>
        <v>1681999.6987999994</v>
      </c>
      <c r="Q136" s="40"/>
      <c r="R136" s="41"/>
      <c r="S136" s="42">
        <f>SUM(S133:S135)</f>
        <v>4397759.4575999994</v>
      </c>
      <c r="T136" s="40"/>
      <c r="U136" s="41"/>
      <c r="V136" s="42">
        <f>SUM(V133:V135)</f>
        <v>4497519.2163999993</v>
      </c>
      <c r="W136" s="40"/>
      <c r="X136" s="41"/>
      <c r="Y136" s="42">
        <f>SUM(Y133:Y135)</f>
        <v>3533278.9751999993</v>
      </c>
      <c r="Z136" s="43">
        <f>SUM(Z133:Z134)</f>
        <v>16144438.975199999</v>
      </c>
      <c r="AA136" s="44" t="s">
        <v>144</v>
      </c>
    </row>
    <row r="138" spans="1:30" s="1" customFormat="1" ht="30.75">
      <c r="H138" s="1" t="s">
        <v>145</v>
      </c>
      <c r="I138" s="1" t="s">
        <v>146</v>
      </c>
      <c r="K138" s="1" t="s">
        <v>145</v>
      </c>
      <c r="L138" s="1" t="s">
        <v>148</v>
      </c>
      <c r="N138" s="1" t="s">
        <v>145</v>
      </c>
      <c r="O138" s="1" t="s">
        <v>148</v>
      </c>
      <c r="Q138" s="1" t="s">
        <v>145</v>
      </c>
      <c r="R138" s="1" t="s">
        <v>148</v>
      </c>
      <c r="T138" s="1" t="s">
        <v>145</v>
      </c>
      <c r="U138" s="1" t="s">
        <v>241</v>
      </c>
      <c r="W138" s="1" t="s">
        <v>145</v>
      </c>
      <c r="X138" s="1" t="s">
        <v>148</v>
      </c>
    </row>
    <row r="139" spans="1:30">
      <c r="H139" t="s">
        <v>204</v>
      </c>
      <c r="I139" s="197">
        <f>8149301</f>
        <v>8149301</v>
      </c>
      <c r="K139" t="s">
        <v>204</v>
      </c>
      <c r="L139" s="197">
        <v>9718354</v>
      </c>
      <c r="N139" t="s">
        <v>204</v>
      </c>
      <c r="O139" s="197">
        <v>2754000</v>
      </c>
      <c r="Q139" t="s">
        <v>204</v>
      </c>
      <c r="R139" s="197">
        <f>80000+792000</f>
        <v>872000</v>
      </c>
      <c r="T139" t="s">
        <v>204</v>
      </c>
      <c r="U139" s="197">
        <v>2696000</v>
      </c>
      <c r="W139" t="s">
        <v>204</v>
      </c>
      <c r="X139" s="197">
        <v>3760000</v>
      </c>
    </row>
    <row r="140" spans="1:30">
      <c r="H140" t="s">
        <v>208</v>
      </c>
      <c r="I140" s="197"/>
      <c r="K140" t="s">
        <v>208</v>
      </c>
      <c r="L140" s="197">
        <v>132000</v>
      </c>
      <c r="N140" t="s">
        <v>208</v>
      </c>
      <c r="O140" s="197"/>
      <c r="Q140" t="s">
        <v>208</v>
      </c>
      <c r="R140" s="197"/>
      <c r="T140" t="s">
        <v>208</v>
      </c>
      <c r="U140" s="197"/>
      <c r="W140" t="s">
        <v>208</v>
      </c>
      <c r="X140" s="197"/>
    </row>
    <row r="141" spans="1:30">
      <c r="H141" t="s">
        <v>88</v>
      </c>
      <c r="I141" s="197"/>
      <c r="K141" t="s">
        <v>88</v>
      </c>
      <c r="L141" s="197">
        <v>359540</v>
      </c>
      <c r="N141" t="s">
        <v>88</v>
      </c>
      <c r="O141" s="197"/>
      <c r="Q141" t="s">
        <v>88</v>
      </c>
      <c r="R141" s="197"/>
      <c r="T141" t="s">
        <v>88</v>
      </c>
      <c r="U141" s="197"/>
      <c r="W141" t="s">
        <v>88</v>
      </c>
      <c r="X141" s="197"/>
    </row>
    <row r="143" spans="1:30" ht="51.75" customHeight="1">
      <c r="H143" s="226" t="s">
        <v>145</v>
      </c>
      <c r="I143" s="226" t="s">
        <v>157</v>
      </c>
      <c r="J143" s="227" t="s">
        <v>158</v>
      </c>
      <c r="K143" s="226" t="s">
        <v>145</v>
      </c>
      <c r="L143" s="226" t="s">
        <v>157</v>
      </c>
      <c r="M143" s="227" t="s">
        <v>158</v>
      </c>
      <c r="N143" s="226" t="s">
        <v>145</v>
      </c>
      <c r="O143" s="226" t="s">
        <v>157</v>
      </c>
      <c r="P143" s="227" t="s">
        <v>158</v>
      </c>
      <c r="Q143" s="226" t="s">
        <v>145</v>
      </c>
      <c r="R143" s="226" t="s">
        <v>157</v>
      </c>
      <c r="S143" s="227" t="s">
        <v>158</v>
      </c>
      <c r="T143" s="226" t="s">
        <v>145</v>
      </c>
      <c r="U143" s="226" t="s">
        <v>157</v>
      </c>
      <c r="V143" s="227" t="s">
        <v>158</v>
      </c>
      <c r="W143" s="226" t="s">
        <v>145</v>
      </c>
      <c r="X143" s="226" t="s">
        <v>157</v>
      </c>
      <c r="Y143" s="227" t="s">
        <v>158</v>
      </c>
      <c r="AA143" s="226" t="s">
        <v>145</v>
      </c>
      <c r="AB143" s="258" t="s">
        <v>242</v>
      </c>
      <c r="AC143" s="228" t="s">
        <v>243</v>
      </c>
      <c r="AD143" s="275" t="s">
        <v>244</v>
      </c>
    </row>
    <row r="144" spans="1:30">
      <c r="H144" s="228" t="s">
        <v>204</v>
      </c>
      <c r="I144" s="144">
        <f>SUM(H62:H70,H29:H37,H18:H26,H7:H15)</f>
        <v>32000</v>
      </c>
      <c r="J144" s="144">
        <f>SUM(J62:J70,J29:J37,J18:J26,J7:J15)</f>
        <v>32000</v>
      </c>
      <c r="K144" s="228" t="s">
        <v>204</v>
      </c>
      <c r="L144" s="144">
        <f>SUM(K62:K70,K29:K37,K18:K26,K7:K15)</f>
        <v>1604354</v>
      </c>
      <c r="M144" s="144">
        <f>SUM(M62:M70,M29:M37,M18:M26,M7:M15)</f>
        <v>1258354</v>
      </c>
      <c r="N144" s="228" t="s">
        <v>204</v>
      </c>
      <c r="O144" s="144">
        <f>SUM(N95:N103,N84:N92,N51:N59)</f>
        <v>2802000</v>
      </c>
      <c r="P144" s="144">
        <f>SUM(P95:P103,P84:P92)</f>
        <v>0</v>
      </c>
      <c r="Q144" s="228" t="s">
        <v>204</v>
      </c>
      <c r="R144" s="144">
        <f>SUM(Q7:Q15,Q40:Q48,Q51:Q59,Q62:Q70)</f>
        <v>80000</v>
      </c>
      <c r="S144" s="144">
        <f>SUM(S7:S15,S40:S48,S51:S59,S62:S70)</f>
        <v>0</v>
      </c>
      <c r="T144" s="228" t="s">
        <v>204</v>
      </c>
      <c r="U144" s="144">
        <f>SUM(T7:T15,T40:T48,T51:T59,T62:T70)</f>
        <v>2696000</v>
      </c>
      <c r="V144" s="144">
        <f>SUM(V7:V15,V40:V48,V51:V59,V62:V70)</f>
        <v>0</v>
      </c>
      <c r="W144" s="228" t="s">
        <v>204</v>
      </c>
      <c r="X144" s="144">
        <f>SUM(W7:W15,W40:W48,W51:W59,W62:W70)</f>
        <v>3760000</v>
      </c>
      <c r="Y144" s="144">
        <f>SUM(Y7:Y15,Y40:Y48,Y51:Y59,Y62:Y70)</f>
        <v>0</v>
      </c>
      <c r="AA144" s="243" t="s">
        <v>204</v>
      </c>
      <c r="AB144" s="174">
        <f>SUM(R144,O144,L144,I144,U144,X144)</f>
        <v>10974354</v>
      </c>
      <c r="AC144" s="272">
        <f>AB144/$AB$153</f>
        <v>1</v>
      </c>
      <c r="AD144" s="145"/>
    </row>
    <row r="145" spans="8:30">
      <c r="H145" s="228" t="s">
        <v>245</v>
      </c>
      <c r="I145" s="145"/>
      <c r="J145" s="229"/>
      <c r="K145" s="228" t="s">
        <v>245</v>
      </c>
      <c r="L145" s="145"/>
      <c r="M145" s="229"/>
      <c r="N145" s="228" t="s">
        <v>245</v>
      </c>
      <c r="O145" s="145"/>
      <c r="P145" s="229"/>
      <c r="Q145" s="228" t="s">
        <v>245</v>
      </c>
      <c r="R145" s="145"/>
      <c r="S145" s="229"/>
      <c r="T145" s="228" t="s">
        <v>245</v>
      </c>
      <c r="U145" s="145"/>
      <c r="V145" s="229"/>
      <c r="W145" s="228" t="s">
        <v>245</v>
      </c>
      <c r="X145" s="145"/>
      <c r="Y145" s="229"/>
      <c r="AA145" s="243" t="s">
        <v>245</v>
      </c>
      <c r="AB145" s="174">
        <f t="shared" ref="AB145:AB152" si="69">SUM(R145,O145,L145,I145,U145,X145)</f>
        <v>0</v>
      </c>
      <c r="AC145" s="272">
        <f t="shared" ref="AC145:AC152" si="70">AB145/$AB$153</f>
        <v>0</v>
      </c>
      <c r="AD145" s="145"/>
    </row>
    <row r="146" spans="8:30">
      <c r="H146" s="228" t="s">
        <v>208</v>
      </c>
      <c r="I146" s="145"/>
      <c r="J146" s="145"/>
      <c r="K146" s="228" t="s">
        <v>208</v>
      </c>
      <c r="L146" s="144">
        <f>SUM(K117:K125)</f>
        <v>0</v>
      </c>
      <c r="M146" s="144">
        <f>SUM(M117:M125)</f>
        <v>0</v>
      </c>
      <c r="N146" s="228" t="s">
        <v>208</v>
      </c>
      <c r="O146" s="145"/>
      <c r="P146" s="145"/>
      <c r="Q146" s="228" t="s">
        <v>208</v>
      </c>
      <c r="R146" s="144">
        <f>SUM(Q117:Q125)</f>
        <v>0</v>
      </c>
      <c r="S146" s="145"/>
      <c r="T146" s="228" t="s">
        <v>208</v>
      </c>
      <c r="U146" s="145"/>
      <c r="V146" s="145"/>
      <c r="W146" s="228" t="s">
        <v>208</v>
      </c>
      <c r="X146" s="145"/>
      <c r="Y146" s="145"/>
      <c r="AA146" s="243" t="s">
        <v>208</v>
      </c>
      <c r="AB146" s="174">
        <f>SUM(R146,O146,L146,I146,U146,X146)</f>
        <v>0</v>
      </c>
      <c r="AC146" s="272">
        <f t="shared" si="70"/>
        <v>0</v>
      </c>
      <c r="AD146" s="145"/>
    </row>
    <row r="147" spans="8:30">
      <c r="H147" s="228" t="s">
        <v>246</v>
      </c>
      <c r="I147" s="145"/>
      <c r="J147" s="145"/>
      <c r="K147" s="228" t="s">
        <v>246</v>
      </c>
      <c r="L147" s="145"/>
      <c r="M147" s="145"/>
      <c r="N147" s="228" t="s">
        <v>246</v>
      </c>
      <c r="O147" s="145"/>
      <c r="P147" s="145"/>
      <c r="Q147" s="228" t="s">
        <v>246</v>
      </c>
      <c r="R147" s="145"/>
      <c r="S147" s="145"/>
      <c r="T147" s="228" t="s">
        <v>246</v>
      </c>
      <c r="U147" s="145"/>
      <c r="V147" s="145"/>
      <c r="W147" s="228" t="s">
        <v>246</v>
      </c>
      <c r="X147" s="145"/>
      <c r="Y147" s="145"/>
      <c r="AA147" s="243" t="s">
        <v>246</v>
      </c>
      <c r="AB147" s="174">
        <f t="shared" si="69"/>
        <v>0</v>
      </c>
      <c r="AC147" s="272">
        <f t="shared" si="70"/>
        <v>0</v>
      </c>
      <c r="AD147" s="145"/>
    </row>
    <row r="148" spans="8:30">
      <c r="H148" s="228" t="s">
        <v>247</v>
      </c>
      <c r="I148" s="145"/>
      <c r="J148" s="145"/>
      <c r="K148" s="228" t="s">
        <v>247</v>
      </c>
      <c r="L148" s="145"/>
      <c r="M148" s="145"/>
      <c r="N148" s="228" t="s">
        <v>247</v>
      </c>
      <c r="O148" s="145"/>
      <c r="P148" s="145"/>
      <c r="Q148" s="228" t="s">
        <v>247</v>
      </c>
      <c r="R148" s="145"/>
      <c r="S148" s="145"/>
      <c r="T148" s="228" t="s">
        <v>247</v>
      </c>
      <c r="U148" s="145"/>
      <c r="V148" s="145"/>
      <c r="W148" s="228" t="s">
        <v>247</v>
      </c>
      <c r="X148" s="145"/>
      <c r="Y148" s="145"/>
      <c r="AA148" s="243" t="s">
        <v>247</v>
      </c>
      <c r="AB148" s="174">
        <f t="shared" si="69"/>
        <v>0</v>
      </c>
      <c r="AC148" s="272">
        <f t="shared" si="70"/>
        <v>0</v>
      </c>
      <c r="AD148" s="145"/>
    </row>
    <row r="149" spans="8:30">
      <c r="H149" s="228" t="s">
        <v>248</v>
      </c>
      <c r="I149" s="145"/>
      <c r="J149" s="145"/>
      <c r="K149" s="228" t="s">
        <v>248</v>
      </c>
      <c r="L149" s="145"/>
      <c r="M149" s="145"/>
      <c r="N149" s="228" t="s">
        <v>248</v>
      </c>
      <c r="O149" s="145"/>
      <c r="P149" s="145"/>
      <c r="Q149" s="228" t="s">
        <v>248</v>
      </c>
      <c r="R149" s="145"/>
      <c r="S149" s="145"/>
      <c r="T149" s="228" t="s">
        <v>248</v>
      </c>
      <c r="U149" s="145"/>
      <c r="V149" s="145"/>
      <c r="W149" s="228" t="s">
        <v>248</v>
      </c>
      <c r="X149" s="145"/>
      <c r="Y149" s="145"/>
      <c r="AA149" s="243" t="s">
        <v>248</v>
      </c>
      <c r="AB149" s="174">
        <f>SUM(R149,O149,L149,I149,U149,X149)</f>
        <v>0</v>
      </c>
      <c r="AC149" s="272">
        <f t="shared" si="70"/>
        <v>0</v>
      </c>
      <c r="AD149" s="145"/>
    </row>
    <row r="150" spans="8:30">
      <c r="H150" s="228" t="s">
        <v>88</v>
      </c>
      <c r="I150" s="145"/>
      <c r="J150" s="145"/>
      <c r="K150" s="228" t="s">
        <v>88</v>
      </c>
      <c r="L150" s="144">
        <f>SUM(K106:K114,K73:K81)</f>
        <v>0</v>
      </c>
      <c r="M150" s="144">
        <f>SUM(M106:M114,M73:M81)</f>
        <v>0</v>
      </c>
      <c r="N150" s="228" t="s">
        <v>88</v>
      </c>
      <c r="O150" s="145"/>
      <c r="P150" s="145"/>
      <c r="Q150" s="228" t="s">
        <v>88</v>
      </c>
      <c r="R150" s="145"/>
      <c r="S150" s="145"/>
      <c r="T150" s="228" t="s">
        <v>88</v>
      </c>
      <c r="U150" s="145"/>
      <c r="V150" s="145"/>
      <c r="W150" s="228" t="s">
        <v>88</v>
      </c>
      <c r="X150" s="145"/>
      <c r="Y150" s="145"/>
      <c r="AA150" s="243" t="s">
        <v>88</v>
      </c>
      <c r="AB150" s="174">
        <f>SUM(R150,O150,L150,I150,U150,X150)</f>
        <v>0</v>
      </c>
      <c r="AC150" s="272">
        <f t="shared" si="70"/>
        <v>0</v>
      </c>
      <c r="AD150" s="145"/>
    </row>
    <row r="151" spans="8:30">
      <c r="H151" s="228" t="s">
        <v>249</v>
      </c>
      <c r="I151" s="145"/>
      <c r="J151" s="145"/>
      <c r="K151" s="228" t="s">
        <v>249</v>
      </c>
      <c r="L151" s="145"/>
      <c r="M151" s="145"/>
      <c r="N151" s="228" t="s">
        <v>249</v>
      </c>
      <c r="O151" s="145"/>
      <c r="P151" s="145"/>
      <c r="Q151" s="228" t="s">
        <v>249</v>
      </c>
      <c r="R151" s="145"/>
      <c r="S151" s="145"/>
      <c r="T151" s="228" t="s">
        <v>249</v>
      </c>
      <c r="U151" s="145"/>
      <c r="V151" s="145"/>
      <c r="W151" s="228" t="s">
        <v>249</v>
      </c>
      <c r="X151" s="145"/>
      <c r="Y151" s="145"/>
      <c r="AA151" s="243" t="s">
        <v>249</v>
      </c>
      <c r="AB151" s="174">
        <f>SUM(R151,O151,L151,I151,U151,X151)</f>
        <v>0</v>
      </c>
      <c r="AC151" s="272">
        <f t="shared" si="70"/>
        <v>0</v>
      </c>
      <c r="AD151" s="145"/>
    </row>
    <row r="152" spans="8:30">
      <c r="H152" s="228" t="s">
        <v>80</v>
      </c>
      <c r="I152" s="145"/>
      <c r="J152" s="145"/>
      <c r="K152" s="228" t="s">
        <v>80</v>
      </c>
      <c r="L152" s="145"/>
      <c r="M152" s="145"/>
      <c r="N152" s="228" t="s">
        <v>80</v>
      </c>
      <c r="O152" s="145"/>
      <c r="P152" s="145"/>
      <c r="Q152" s="228" t="s">
        <v>80</v>
      </c>
      <c r="R152" s="145"/>
      <c r="S152" s="145"/>
      <c r="T152" s="228" t="s">
        <v>80</v>
      </c>
      <c r="U152" s="145"/>
      <c r="V152" s="145"/>
      <c r="W152" s="228" t="s">
        <v>80</v>
      </c>
      <c r="X152" s="145"/>
      <c r="Y152" s="145"/>
      <c r="AA152" s="234" t="s">
        <v>80</v>
      </c>
      <c r="AB152" s="174">
        <f t="shared" si="69"/>
        <v>0</v>
      </c>
      <c r="AC152" s="273">
        <f t="shared" si="70"/>
        <v>0</v>
      </c>
      <c r="AD152" s="145"/>
    </row>
    <row r="153" spans="8:30">
      <c r="AA153" s="251" t="s">
        <v>250</v>
      </c>
      <c r="AB153" s="262">
        <f>SUM(AB144:AB152)</f>
        <v>10974354</v>
      </c>
      <c r="AC153" s="274">
        <f>SUM(AC144:AC152)</f>
        <v>1</v>
      </c>
      <c r="AD153" s="145"/>
    </row>
    <row r="154" spans="8:30">
      <c r="H154" s="230" t="s">
        <v>145</v>
      </c>
      <c r="I154" s="230" t="s">
        <v>170</v>
      </c>
      <c r="K154" s="230" t="s">
        <v>145</v>
      </c>
      <c r="L154" s="230" t="s">
        <v>170</v>
      </c>
      <c r="N154" s="230" t="s">
        <v>145</v>
      </c>
      <c r="O154" s="230" t="s">
        <v>170</v>
      </c>
      <c r="Q154" s="230" t="s">
        <v>145</v>
      </c>
      <c r="R154" s="230" t="s">
        <v>170</v>
      </c>
      <c r="T154" s="230" t="s">
        <v>145</v>
      </c>
      <c r="U154" s="230" t="s">
        <v>170</v>
      </c>
      <c r="W154" s="230" t="s">
        <v>145</v>
      </c>
      <c r="X154" s="230" t="s">
        <v>170</v>
      </c>
    </row>
    <row r="155" spans="8:30">
      <c r="H155" s="228" t="s">
        <v>204</v>
      </c>
      <c r="I155" s="252">
        <f>J144/I139</f>
        <v>3.926717150342097E-3</v>
      </c>
      <c r="K155" s="228" t="s">
        <v>204</v>
      </c>
      <c r="L155" s="231">
        <f>M144/L139</f>
        <v>0.12948221478657806</v>
      </c>
      <c r="N155" s="228" t="s">
        <v>204</v>
      </c>
      <c r="O155" s="231">
        <f>P144/O139</f>
        <v>0</v>
      </c>
      <c r="Q155" s="228" t="s">
        <v>204</v>
      </c>
      <c r="R155" s="231">
        <f>S144/R139</f>
        <v>0</v>
      </c>
      <c r="T155" s="228" t="s">
        <v>204</v>
      </c>
      <c r="U155" s="231">
        <f>V144/U139</f>
        <v>0</v>
      </c>
      <c r="W155" s="228" t="s">
        <v>204</v>
      </c>
      <c r="X155" s="231">
        <f>Y144/X139</f>
        <v>0</v>
      </c>
    </row>
    <row r="156" spans="8:30">
      <c r="H156" s="228" t="s">
        <v>245</v>
      </c>
      <c r="I156" s="231" t="e">
        <f>I145/J145</f>
        <v>#DIV/0!</v>
      </c>
      <c r="K156" s="228" t="s">
        <v>245</v>
      </c>
      <c r="L156" s="231" t="e">
        <f t="shared" ref="L156:L163" si="71">L145/M145</f>
        <v>#DIV/0!</v>
      </c>
      <c r="N156" s="228" t="s">
        <v>245</v>
      </c>
      <c r="O156" s="231" t="e">
        <f t="shared" ref="O156:O163" si="72">O145/P145</f>
        <v>#DIV/0!</v>
      </c>
      <c r="Q156" s="228" t="s">
        <v>245</v>
      </c>
      <c r="R156" s="231" t="e">
        <f t="shared" ref="R156:R163" si="73">R145/S145</f>
        <v>#DIV/0!</v>
      </c>
      <c r="T156" s="228" t="s">
        <v>245</v>
      </c>
      <c r="U156" s="231" t="e">
        <f t="shared" ref="U156:U163" si="74">U145/V145</f>
        <v>#DIV/0!</v>
      </c>
      <c r="W156" s="228" t="s">
        <v>245</v>
      </c>
      <c r="X156" s="231" t="e">
        <f t="shared" ref="X156:X163" si="75">X145/Y145</f>
        <v>#DIV/0!</v>
      </c>
    </row>
    <row r="157" spans="8:30">
      <c r="H157" s="228" t="s">
        <v>208</v>
      </c>
      <c r="I157" s="231" t="e">
        <f>I146/J146</f>
        <v>#DIV/0!</v>
      </c>
      <c r="K157" s="228" t="s">
        <v>208</v>
      </c>
      <c r="L157" s="231">
        <f>M146/L140</f>
        <v>0</v>
      </c>
      <c r="N157" s="228" t="s">
        <v>208</v>
      </c>
      <c r="O157" s="231" t="e">
        <f t="shared" si="72"/>
        <v>#DIV/0!</v>
      </c>
      <c r="Q157" s="228" t="s">
        <v>208</v>
      </c>
      <c r="R157" s="231" t="e">
        <f t="shared" si="73"/>
        <v>#DIV/0!</v>
      </c>
      <c r="T157" s="228" t="s">
        <v>208</v>
      </c>
      <c r="U157" s="231" t="e">
        <f t="shared" si="74"/>
        <v>#DIV/0!</v>
      </c>
      <c r="W157" s="228" t="s">
        <v>208</v>
      </c>
      <c r="X157" s="231" t="e">
        <f t="shared" si="75"/>
        <v>#DIV/0!</v>
      </c>
    </row>
    <row r="158" spans="8:30">
      <c r="H158" s="228" t="s">
        <v>246</v>
      </c>
      <c r="I158" s="231" t="e">
        <f>I147/J147</f>
        <v>#DIV/0!</v>
      </c>
      <c r="K158" s="228" t="s">
        <v>246</v>
      </c>
      <c r="L158" s="231" t="e">
        <f t="shared" si="71"/>
        <v>#DIV/0!</v>
      </c>
      <c r="N158" s="228" t="s">
        <v>246</v>
      </c>
      <c r="O158" s="231" t="e">
        <f t="shared" si="72"/>
        <v>#DIV/0!</v>
      </c>
      <c r="Q158" s="228" t="s">
        <v>246</v>
      </c>
      <c r="R158" s="231" t="e">
        <f t="shared" si="73"/>
        <v>#DIV/0!</v>
      </c>
      <c r="T158" s="228" t="s">
        <v>246</v>
      </c>
      <c r="U158" s="231" t="e">
        <f t="shared" si="74"/>
        <v>#DIV/0!</v>
      </c>
      <c r="W158" s="228" t="s">
        <v>246</v>
      </c>
      <c r="X158" s="231" t="e">
        <f t="shared" si="75"/>
        <v>#DIV/0!</v>
      </c>
    </row>
    <row r="159" spans="8:30">
      <c r="H159" s="228" t="s">
        <v>247</v>
      </c>
      <c r="I159" s="231" t="e">
        <f t="shared" ref="I159:I163" si="76">I148/J148</f>
        <v>#DIV/0!</v>
      </c>
      <c r="K159" s="228" t="s">
        <v>247</v>
      </c>
      <c r="L159" s="231" t="e">
        <f t="shared" si="71"/>
        <v>#DIV/0!</v>
      </c>
      <c r="N159" s="228" t="s">
        <v>247</v>
      </c>
      <c r="O159" s="231" t="e">
        <f t="shared" si="72"/>
        <v>#DIV/0!</v>
      </c>
      <c r="Q159" s="228" t="s">
        <v>247</v>
      </c>
      <c r="R159" s="231" t="e">
        <f t="shared" si="73"/>
        <v>#DIV/0!</v>
      </c>
      <c r="T159" s="228" t="s">
        <v>247</v>
      </c>
      <c r="U159" s="231" t="e">
        <f t="shared" si="74"/>
        <v>#DIV/0!</v>
      </c>
      <c r="W159" s="228" t="s">
        <v>247</v>
      </c>
      <c r="X159" s="231" t="e">
        <f t="shared" si="75"/>
        <v>#DIV/0!</v>
      </c>
    </row>
    <row r="160" spans="8:30">
      <c r="H160" s="228" t="s">
        <v>248</v>
      </c>
      <c r="I160" s="231" t="e">
        <f t="shared" si="76"/>
        <v>#DIV/0!</v>
      </c>
      <c r="K160" s="228" t="s">
        <v>248</v>
      </c>
      <c r="L160" s="231" t="e">
        <f t="shared" si="71"/>
        <v>#DIV/0!</v>
      </c>
      <c r="N160" s="228" t="s">
        <v>248</v>
      </c>
      <c r="O160" s="231" t="e">
        <f t="shared" si="72"/>
        <v>#DIV/0!</v>
      </c>
      <c r="Q160" s="228" t="s">
        <v>248</v>
      </c>
      <c r="R160" s="231" t="e">
        <f t="shared" si="73"/>
        <v>#DIV/0!</v>
      </c>
      <c r="T160" s="228" t="s">
        <v>248</v>
      </c>
      <c r="U160" s="231" t="e">
        <f t="shared" si="74"/>
        <v>#DIV/0!</v>
      </c>
      <c r="W160" s="228" t="s">
        <v>248</v>
      </c>
      <c r="X160" s="231" t="e">
        <f t="shared" si="75"/>
        <v>#DIV/0!</v>
      </c>
    </row>
    <row r="161" spans="8:29">
      <c r="H161" s="228" t="s">
        <v>88</v>
      </c>
      <c r="I161" s="231" t="e">
        <f t="shared" si="76"/>
        <v>#DIV/0!</v>
      </c>
      <c r="K161" s="228" t="s">
        <v>88</v>
      </c>
      <c r="L161" s="231">
        <f>M150/L141</f>
        <v>0</v>
      </c>
      <c r="N161" s="228" t="s">
        <v>88</v>
      </c>
      <c r="O161" s="231" t="e">
        <f t="shared" si="72"/>
        <v>#DIV/0!</v>
      </c>
      <c r="Q161" s="228" t="s">
        <v>88</v>
      </c>
      <c r="R161" s="231" t="e">
        <f t="shared" si="73"/>
        <v>#DIV/0!</v>
      </c>
      <c r="T161" s="228" t="s">
        <v>88</v>
      </c>
      <c r="U161" s="231" t="e">
        <f t="shared" si="74"/>
        <v>#DIV/0!</v>
      </c>
      <c r="W161" s="228" t="s">
        <v>88</v>
      </c>
      <c r="X161" s="231" t="e">
        <f t="shared" si="75"/>
        <v>#DIV/0!</v>
      </c>
    </row>
    <row r="162" spans="8:29">
      <c r="H162" s="228" t="s">
        <v>249</v>
      </c>
      <c r="I162" s="231" t="e">
        <f t="shared" si="76"/>
        <v>#DIV/0!</v>
      </c>
      <c r="K162" s="228" t="s">
        <v>249</v>
      </c>
      <c r="L162" s="231" t="e">
        <f t="shared" si="71"/>
        <v>#DIV/0!</v>
      </c>
      <c r="N162" s="228" t="s">
        <v>249</v>
      </c>
      <c r="O162" s="231" t="e">
        <f t="shared" si="72"/>
        <v>#DIV/0!</v>
      </c>
      <c r="Q162" s="228" t="s">
        <v>249</v>
      </c>
      <c r="R162" s="231" t="e">
        <f t="shared" si="73"/>
        <v>#DIV/0!</v>
      </c>
      <c r="T162" s="228" t="s">
        <v>249</v>
      </c>
      <c r="U162" s="231" t="e">
        <f t="shared" si="74"/>
        <v>#DIV/0!</v>
      </c>
      <c r="W162" s="228" t="s">
        <v>249</v>
      </c>
      <c r="X162" s="231" t="e">
        <f t="shared" si="75"/>
        <v>#DIV/0!</v>
      </c>
    </row>
    <row r="163" spans="8:29">
      <c r="H163" s="228" t="s">
        <v>80</v>
      </c>
      <c r="I163" s="231" t="e">
        <f t="shared" si="76"/>
        <v>#DIV/0!</v>
      </c>
      <c r="K163" s="228" t="s">
        <v>80</v>
      </c>
      <c r="L163" s="231" t="e">
        <f t="shared" si="71"/>
        <v>#DIV/0!</v>
      </c>
      <c r="N163" s="228" t="s">
        <v>80</v>
      </c>
      <c r="O163" s="231" t="e">
        <f t="shared" si="72"/>
        <v>#DIV/0!</v>
      </c>
      <c r="Q163" s="228" t="s">
        <v>80</v>
      </c>
      <c r="R163" s="231" t="e">
        <f t="shared" si="73"/>
        <v>#DIV/0!</v>
      </c>
      <c r="T163" s="228" t="s">
        <v>80</v>
      </c>
      <c r="U163" s="231" t="e">
        <f t="shared" si="74"/>
        <v>#DIV/0!</v>
      </c>
      <c r="W163" s="228" t="s">
        <v>80</v>
      </c>
      <c r="X163" s="231" t="e">
        <f t="shared" si="75"/>
        <v>#DIV/0!</v>
      </c>
    </row>
    <row r="165" spans="8:29" ht="28.9">
      <c r="H165" s="234" t="s">
        <v>173</v>
      </c>
      <c r="I165" s="235" t="s">
        <v>174</v>
      </c>
      <c r="J165" s="235" t="s">
        <v>175</v>
      </c>
      <c r="K165" s="234" t="s">
        <v>173</v>
      </c>
      <c r="L165" s="235" t="s">
        <v>174</v>
      </c>
      <c r="M165" s="235" t="s">
        <v>175</v>
      </c>
      <c r="N165" s="234" t="s">
        <v>173</v>
      </c>
      <c r="O165" s="235" t="s">
        <v>174</v>
      </c>
      <c r="P165" s="235" t="s">
        <v>175</v>
      </c>
      <c r="Q165" s="234" t="s">
        <v>173</v>
      </c>
      <c r="R165" s="235" t="s">
        <v>174</v>
      </c>
      <c r="S165" s="236" t="s">
        <v>175</v>
      </c>
      <c r="T165" s="234" t="s">
        <v>173</v>
      </c>
      <c r="U165" s="235" t="s">
        <v>174</v>
      </c>
      <c r="V165" s="236" t="s">
        <v>175</v>
      </c>
      <c r="W165" s="234" t="s">
        <v>173</v>
      </c>
      <c r="X165" s="235" t="s">
        <v>174</v>
      </c>
      <c r="Y165" s="236" t="s">
        <v>175</v>
      </c>
      <c r="AA165" s="145" t="s">
        <v>173</v>
      </c>
      <c r="AB165" s="228" t="s">
        <v>251</v>
      </c>
      <c r="AC165" s="228" t="s">
        <v>252</v>
      </c>
    </row>
    <row r="166" spans="8:29">
      <c r="H166" s="237" t="s">
        <v>177</v>
      </c>
      <c r="J166" s="171">
        <f>I166/$I$171</f>
        <v>0</v>
      </c>
      <c r="K166" s="237" t="s">
        <v>177</v>
      </c>
      <c r="M166" s="171">
        <f>L166/$L$171</f>
        <v>0</v>
      </c>
      <c r="N166" s="237" t="s">
        <v>177</v>
      </c>
      <c r="P166" s="171">
        <f>O166/$O$171</f>
        <v>0</v>
      </c>
      <c r="Q166" s="237" t="s">
        <v>177</v>
      </c>
      <c r="S166" s="256">
        <f>R166/$R$171</f>
        <v>0</v>
      </c>
      <c r="T166" s="237" t="s">
        <v>177</v>
      </c>
      <c r="V166" s="256">
        <f>U166/$R$171</f>
        <v>0</v>
      </c>
      <c r="W166" s="237" t="s">
        <v>177</v>
      </c>
      <c r="Y166" s="256">
        <f>X166/$R$171</f>
        <v>0</v>
      </c>
      <c r="AA166" s="145" t="s">
        <v>177</v>
      </c>
      <c r="AB166" s="233">
        <f>SUM(I166,L166,O166,R166,U166,X166)</f>
        <v>0</v>
      </c>
      <c r="AC166" s="231">
        <f>AB166/$AB$171</f>
        <v>0</v>
      </c>
    </row>
    <row r="167" spans="8:29">
      <c r="H167" s="237" t="s">
        <v>178</v>
      </c>
      <c r="J167" s="171">
        <f t="shared" ref="J167:J170" si="77">I167/$I$171</f>
        <v>0</v>
      </c>
      <c r="K167" s="237" t="s">
        <v>178</v>
      </c>
      <c r="M167" s="171">
        <f t="shared" ref="M167:M170" si="78">L167/$L$171</f>
        <v>0</v>
      </c>
      <c r="N167" s="237" t="s">
        <v>178</v>
      </c>
      <c r="P167" s="171">
        <f t="shared" ref="P167:P170" si="79">O167/$O$171</f>
        <v>0</v>
      </c>
      <c r="Q167" s="237" t="s">
        <v>178</v>
      </c>
      <c r="S167" s="256">
        <f t="shared" ref="S167:S170" si="80">R167/$R$171</f>
        <v>0</v>
      </c>
      <c r="T167" s="237" t="s">
        <v>178</v>
      </c>
      <c r="V167" s="256">
        <f t="shared" ref="V167:V170" si="81">U167/$R$171</f>
        <v>0</v>
      </c>
      <c r="W167" s="237" t="s">
        <v>178</v>
      </c>
      <c r="Y167" s="256">
        <f t="shared" ref="Y167:Y170" si="82">X167/$R$171</f>
        <v>0</v>
      </c>
      <c r="AA167" s="145" t="s">
        <v>178</v>
      </c>
      <c r="AB167" s="233">
        <f t="shared" ref="AB167:AB170" si="83">SUM(I167,L167,O167,R167,U167,X167)</f>
        <v>0</v>
      </c>
      <c r="AC167" s="231">
        <f t="shared" ref="AC167:AC170" si="84">AB167/$AB$171</f>
        <v>0</v>
      </c>
    </row>
    <row r="168" spans="8:29">
      <c r="H168" s="237" t="s">
        <v>179</v>
      </c>
      <c r="I168" s="56">
        <f>SUM(H7:H15,H18:H26,H29:H37,H62:H70)</f>
        <v>32000</v>
      </c>
      <c r="J168" s="171">
        <f t="shared" si="77"/>
        <v>1</v>
      </c>
      <c r="K168" s="237" t="s">
        <v>179</v>
      </c>
      <c r="L168" s="56">
        <f>SUM(K18:K26,K62:K70,K84:K92,K117:K125,K7:K15,K29:K37,K51:K59,K95:K103)</f>
        <v>1969354</v>
      </c>
      <c r="M168" s="171">
        <f t="shared" si="78"/>
        <v>1</v>
      </c>
      <c r="N168" s="237" t="s">
        <v>179</v>
      </c>
      <c r="O168" s="56">
        <f>SUM(N84:N92,N95:N103,N51:N59)</f>
        <v>2802000</v>
      </c>
      <c r="P168" s="171">
        <f t="shared" si="79"/>
        <v>1</v>
      </c>
      <c r="Q168" s="237" t="s">
        <v>179</v>
      </c>
      <c r="R168" s="56">
        <f>SUM(Q7:Q15,Q40:Q48,Q51:Q59,Q62:Q70,Q117:Q125)</f>
        <v>80000</v>
      </c>
      <c r="S168" s="256">
        <f>R168/$R$171</f>
        <v>1</v>
      </c>
      <c r="T168" s="237" t="s">
        <v>179</v>
      </c>
      <c r="U168" s="56">
        <f>SUM(T7:T15,T40:T48,T51:T59,T62:T70,T117:T125)</f>
        <v>2696000</v>
      </c>
      <c r="V168" s="256">
        <f>U168/U171</f>
        <v>1</v>
      </c>
      <c r="W168" s="237" t="s">
        <v>179</v>
      </c>
      <c r="X168" s="56">
        <f>SUM(W7:W15,W40:W48,W51:W59,W62:W70,W117:W125)</f>
        <v>3760000</v>
      </c>
      <c r="Y168" s="256">
        <f>X168/X171</f>
        <v>1</v>
      </c>
      <c r="AA168" s="145" t="s">
        <v>179</v>
      </c>
      <c r="AB168" s="233">
        <f>SUM(I168,L168,O168,R168,U168,X168)</f>
        <v>11339354</v>
      </c>
      <c r="AC168" s="231">
        <f t="shared" si="84"/>
        <v>1</v>
      </c>
    </row>
    <row r="169" spans="8:29">
      <c r="H169" s="237" t="s">
        <v>180</v>
      </c>
      <c r="J169" s="171">
        <f t="shared" si="77"/>
        <v>0</v>
      </c>
      <c r="K169" s="237" t="s">
        <v>180</v>
      </c>
      <c r="L169" s="56">
        <f>SUM(K73:K81,K106:K114)</f>
        <v>0</v>
      </c>
      <c r="M169" s="171">
        <f t="shared" si="78"/>
        <v>0</v>
      </c>
      <c r="N169" s="237" t="s">
        <v>180</v>
      </c>
      <c r="P169" s="171">
        <f t="shared" si="79"/>
        <v>0</v>
      </c>
      <c r="Q169" s="237" t="s">
        <v>180</v>
      </c>
      <c r="S169" s="256">
        <f t="shared" si="80"/>
        <v>0</v>
      </c>
      <c r="T169" s="237" t="s">
        <v>180</v>
      </c>
      <c r="V169" s="256">
        <f t="shared" si="81"/>
        <v>0</v>
      </c>
      <c r="W169" s="237" t="s">
        <v>180</v>
      </c>
      <c r="Y169" s="256">
        <f t="shared" si="82"/>
        <v>0</v>
      </c>
      <c r="AA169" s="145" t="s">
        <v>180</v>
      </c>
      <c r="AB169" s="233">
        <f>SUM(I169,L169,O169,R169,U169,X169)</f>
        <v>0</v>
      </c>
      <c r="AC169" s="231">
        <f t="shared" si="84"/>
        <v>0</v>
      </c>
    </row>
    <row r="170" spans="8:29">
      <c r="H170" s="239" t="s">
        <v>41</v>
      </c>
      <c r="I170" s="240"/>
      <c r="J170" s="171">
        <f t="shared" si="77"/>
        <v>0</v>
      </c>
      <c r="K170" s="239" t="s">
        <v>41</v>
      </c>
      <c r="L170" s="240"/>
      <c r="M170" s="171">
        <f t="shared" si="78"/>
        <v>0</v>
      </c>
      <c r="N170" s="239" t="s">
        <v>41</v>
      </c>
      <c r="O170" s="240"/>
      <c r="P170" s="171">
        <f t="shared" si="79"/>
        <v>0</v>
      </c>
      <c r="Q170" s="239" t="s">
        <v>41</v>
      </c>
      <c r="R170" s="240"/>
      <c r="S170" s="256">
        <f t="shared" si="80"/>
        <v>0</v>
      </c>
      <c r="T170" s="239" t="s">
        <v>41</v>
      </c>
      <c r="U170" s="240"/>
      <c r="V170" s="256">
        <f t="shared" si="81"/>
        <v>0</v>
      </c>
      <c r="W170" s="239" t="s">
        <v>41</v>
      </c>
      <c r="X170" s="240"/>
      <c r="Y170" s="256">
        <f t="shared" si="82"/>
        <v>0</v>
      </c>
      <c r="AA170" s="265" t="s">
        <v>41</v>
      </c>
      <c r="AB170" s="233">
        <f t="shared" si="83"/>
        <v>0</v>
      </c>
      <c r="AC170" s="261">
        <f t="shared" si="84"/>
        <v>0</v>
      </c>
    </row>
    <row r="171" spans="8:29">
      <c r="H171" t="s">
        <v>181</v>
      </c>
      <c r="I171" s="197">
        <f>SUM(I166:I170)</f>
        <v>32000</v>
      </c>
      <c r="J171" s="171">
        <f>SUM(J166:J170)</f>
        <v>1</v>
      </c>
      <c r="K171" t="s">
        <v>181</v>
      </c>
      <c r="L171" s="197">
        <f>SUM(L166:L170)</f>
        <v>1969354</v>
      </c>
      <c r="M171" s="171">
        <f>SUM(M166:M170)</f>
        <v>1</v>
      </c>
      <c r="N171" t="s">
        <v>181</v>
      </c>
      <c r="O171" s="197">
        <f>SUM(O166:O170)</f>
        <v>2802000</v>
      </c>
      <c r="P171" s="171">
        <f>SUM(P166:P170)</f>
        <v>1</v>
      </c>
      <c r="Q171" t="s">
        <v>181</v>
      </c>
      <c r="R171" s="197">
        <f>SUM(R166:R170)</f>
        <v>80000</v>
      </c>
      <c r="S171" s="171">
        <f>SUM(S166:S170)</f>
        <v>1</v>
      </c>
      <c r="T171" t="s">
        <v>181</v>
      </c>
      <c r="U171" s="197">
        <f>SUM(U166:U170)</f>
        <v>2696000</v>
      </c>
      <c r="V171" s="171">
        <f>SUM(V166:V170)</f>
        <v>1</v>
      </c>
      <c r="W171" t="s">
        <v>181</v>
      </c>
      <c r="X171" s="197">
        <f>SUM(X166:X170)</f>
        <v>3760000</v>
      </c>
      <c r="Y171" s="171">
        <f>SUM(Y166:Y170)</f>
        <v>1</v>
      </c>
      <c r="AA171" s="251" t="s">
        <v>181</v>
      </c>
      <c r="AB171" s="264">
        <f>SUM(AB166:AB170)</f>
        <v>11339354</v>
      </c>
      <c r="AC171" s="263">
        <f>SUM(AC166:AC170)</f>
        <v>1</v>
      </c>
    </row>
    <row r="173" spans="8:29" ht="43.15">
      <c r="H173" s="234" t="s">
        <v>173</v>
      </c>
      <c r="I173" s="235" t="s">
        <v>182</v>
      </c>
      <c r="J173" s="236" t="s">
        <v>253</v>
      </c>
      <c r="K173" s="235" t="s">
        <v>173</v>
      </c>
      <c r="L173" s="235" t="s">
        <v>182</v>
      </c>
      <c r="M173" s="236" t="s">
        <v>253</v>
      </c>
      <c r="N173" s="235" t="s">
        <v>173</v>
      </c>
      <c r="O173" s="235" t="s">
        <v>182</v>
      </c>
      <c r="P173" s="236" t="s">
        <v>253</v>
      </c>
      <c r="Q173" s="235" t="s">
        <v>173</v>
      </c>
      <c r="R173" s="235" t="s">
        <v>182</v>
      </c>
      <c r="S173" s="236" t="s">
        <v>253</v>
      </c>
      <c r="T173" s="235" t="s">
        <v>173</v>
      </c>
      <c r="U173" s="235" t="s">
        <v>182</v>
      </c>
      <c r="V173" s="236" t="s">
        <v>253</v>
      </c>
      <c r="W173" s="235" t="s">
        <v>173</v>
      </c>
      <c r="X173" s="235" t="s">
        <v>182</v>
      </c>
      <c r="Y173" s="236" t="s">
        <v>253</v>
      </c>
      <c r="AA173" s="145" t="s">
        <v>173</v>
      </c>
      <c r="AB173" s="228" t="s">
        <v>254</v>
      </c>
      <c r="AC173" s="228" t="s">
        <v>253</v>
      </c>
    </row>
    <row r="174" spans="8:29">
      <c r="H174" s="237" t="s">
        <v>177</v>
      </c>
      <c r="J174" s="256">
        <f>I174/$I$179</f>
        <v>0</v>
      </c>
      <c r="K174" s="237" t="s">
        <v>177</v>
      </c>
      <c r="M174" s="256">
        <f>L174/$L$179</f>
        <v>0</v>
      </c>
      <c r="N174" s="237" t="s">
        <v>177</v>
      </c>
      <c r="P174" s="256">
        <f>O174/$O$179</f>
        <v>0</v>
      </c>
      <c r="Q174" s="237" t="s">
        <v>177</v>
      </c>
      <c r="S174" s="256">
        <f>R174/$R$179</f>
        <v>0</v>
      </c>
      <c r="T174" s="237" t="s">
        <v>177</v>
      </c>
      <c r="V174" s="256">
        <f>U174/$R$179</f>
        <v>0</v>
      </c>
      <c r="W174" s="237" t="s">
        <v>177</v>
      </c>
      <c r="Y174" s="256">
        <f>X174/$R$179</f>
        <v>0</v>
      </c>
      <c r="AA174" s="145" t="s">
        <v>177</v>
      </c>
      <c r="AB174" s="145">
        <f>SUM(I174,L174,O174,R174,U174,X174)</f>
        <v>0</v>
      </c>
      <c r="AC174" s="231">
        <f>AB174/$AB$179</f>
        <v>0</v>
      </c>
    </row>
    <row r="175" spans="8:29">
      <c r="H175" s="237" t="s">
        <v>178</v>
      </c>
      <c r="J175" s="256">
        <f t="shared" ref="J175:J178" si="85">I175/$I$179</f>
        <v>0</v>
      </c>
      <c r="K175" s="237" t="s">
        <v>178</v>
      </c>
      <c r="M175" s="256">
        <f t="shared" ref="M175:M178" si="86">L175/$L$179</f>
        <v>0</v>
      </c>
      <c r="N175" s="237" t="s">
        <v>178</v>
      </c>
      <c r="P175" s="256">
        <f t="shared" ref="P175:P178" si="87">O175/$O$179</f>
        <v>0</v>
      </c>
      <c r="Q175" s="237" t="s">
        <v>178</v>
      </c>
      <c r="S175" s="256">
        <f t="shared" ref="S175:S178" si="88">R175/$R$179</f>
        <v>0</v>
      </c>
      <c r="T175" s="237" t="s">
        <v>178</v>
      </c>
      <c r="V175" s="256">
        <f t="shared" ref="V175:V178" si="89">U175/$R$179</f>
        <v>0</v>
      </c>
      <c r="W175" s="237" t="s">
        <v>178</v>
      </c>
      <c r="Y175" s="256">
        <f t="shared" ref="Y175:Y178" si="90">X175/$R$179</f>
        <v>0</v>
      </c>
      <c r="AA175" s="145" t="s">
        <v>178</v>
      </c>
      <c r="AB175" s="145">
        <f t="shared" ref="AB175:AB178" si="91">SUM(I175,L175,O175,R175,U175,X175)</f>
        <v>0</v>
      </c>
      <c r="AC175" s="231">
        <f t="shared" ref="AC175:AC178" si="92">AB175/$AB$179</f>
        <v>0</v>
      </c>
    </row>
    <row r="176" spans="8:29">
      <c r="H176" s="237" t="s">
        <v>179</v>
      </c>
      <c r="I176">
        <v>4</v>
      </c>
      <c r="J176" s="256">
        <f t="shared" si="85"/>
        <v>1</v>
      </c>
      <c r="K176" s="237" t="s">
        <v>179</v>
      </c>
      <c r="L176">
        <v>10</v>
      </c>
      <c r="M176" s="256">
        <f t="shared" si="86"/>
        <v>0.76923076923076927</v>
      </c>
      <c r="N176" s="237" t="s">
        <v>179</v>
      </c>
      <c r="O176">
        <v>4</v>
      </c>
      <c r="P176" s="256">
        <f t="shared" si="87"/>
        <v>1</v>
      </c>
      <c r="Q176" s="237" t="s">
        <v>179</v>
      </c>
      <c r="R176">
        <v>3</v>
      </c>
      <c r="S176" s="256">
        <f t="shared" si="88"/>
        <v>1</v>
      </c>
      <c r="T176" s="237" t="s">
        <v>179</v>
      </c>
      <c r="U176">
        <v>2</v>
      </c>
      <c r="V176" s="256">
        <f t="shared" si="89"/>
        <v>0.66666666666666663</v>
      </c>
      <c r="W176" s="237" t="s">
        <v>179</v>
      </c>
      <c r="X176">
        <v>1</v>
      </c>
      <c r="Y176" s="256">
        <f t="shared" si="90"/>
        <v>0.33333333333333331</v>
      </c>
      <c r="AA176" s="145" t="s">
        <v>179</v>
      </c>
      <c r="AB176" s="145">
        <f>SUM(I176,L176,O176,R176,U176,X176)</f>
        <v>24</v>
      </c>
      <c r="AC176" s="231">
        <f t="shared" si="92"/>
        <v>0.88888888888888884</v>
      </c>
    </row>
    <row r="177" spans="8:29">
      <c r="H177" s="237" t="s">
        <v>180</v>
      </c>
      <c r="J177" s="256">
        <f t="shared" si="85"/>
        <v>0</v>
      </c>
      <c r="K177" t="s">
        <v>180</v>
      </c>
      <c r="L177">
        <v>3</v>
      </c>
      <c r="M177" s="256">
        <f t="shared" si="86"/>
        <v>0.23076923076923078</v>
      </c>
      <c r="N177" t="s">
        <v>180</v>
      </c>
      <c r="P177" s="256">
        <f t="shared" si="87"/>
        <v>0</v>
      </c>
      <c r="Q177" t="s">
        <v>180</v>
      </c>
      <c r="S177" s="256">
        <f t="shared" si="88"/>
        <v>0</v>
      </c>
      <c r="T177" t="s">
        <v>180</v>
      </c>
      <c r="V177" s="256">
        <f t="shared" si="89"/>
        <v>0</v>
      </c>
      <c r="W177" t="s">
        <v>180</v>
      </c>
      <c r="Y177" s="256">
        <f t="shared" si="90"/>
        <v>0</v>
      </c>
      <c r="AA177" s="145" t="s">
        <v>180</v>
      </c>
      <c r="AB177" s="145">
        <f t="shared" si="91"/>
        <v>3</v>
      </c>
      <c r="AC177" s="231">
        <f t="shared" si="92"/>
        <v>0.1111111111111111</v>
      </c>
    </row>
    <row r="178" spans="8:29">
      <c r="H178" s="239" t="s">
        <v>41</v>
      </c>
      <c r="I178" s="240"/>
      <c r="J178" s="256">
        <f t="shared" si="85"/>
        <v>0</v>
      </c>
      <c r="K178" s="240" t="s">
        <v>41</v>
      </c>
      <c r="L178" s="240"/>
      <c r="M178" s="256">
        <f t="shared" si="86"/>
        <v>0</v>
      </c>
      <c r="N178" s="240" t="s">
        <v>41</v>
      </c>
      <c r="O178" s="240"/>
      <c r="P178" s="256">
        <f t="shared" si="87"/>
        <v>0</v>
      </c>
      <c r="Q178" s="240" t="s">
        <v>41</v>
      </c>
      <c r="R178" s="240"/>
      <c r="S178" s="256">
        <f t="shared" si="88"/>
        <v>0</v>
      </c>
      <c r="T178" s="240" t="s">
        <v>41</v>
      </c>
      <c r="U178" s="240"/>
      <c r="V178" s="256">
        <f t="shared" si="89"/>
        <v>0</v>
      </c>
      <c r="W178" s="240" t="s">
        <v>41</v>
      </c>
      <c r="X178" s="240"/>
      <c r="Y178" s="256">
        <f t="shared" si="90"/>
        <v>0</v>
      </c>
      <c r="AA178" s="265" t="s">
        <v>41</v>
      </c>
      <c r="AB178" s="145">
        <f t="shared" si="91"/>
        <v>0</v>
      </c>
      <c r="AC178" s="261">
        <f t="shared" si="92"/>
        <v>0</v>
      </c>
    </row>
    <row r="179" spans="8:29">
      <c r="H179" t="s">
        <v>181</v>
      </c>
      <c r="I179">
        <f>SUM(I174:I178)</f>
        <v>4</v>
      </c>
      <c r="J179" s="171">
        <f>SUM(J174:J178)</f>
        <v>1</v>
      </c>
      <c r="K179" t="s">
        <v>181</v>
      </c>
      <c r="L179">
        <f>SUM(L174:L178)</f>
        <v>13</v>
      </c>
      <c r="M179" s="171">
        <f>SUM(M174:M178)</f>
        <v>1</v>
      </c>
      <c r="N179" t="s">
        <v>181</v>
      </c>
      <c r="O179">
        <f>SUM(O174:O178)</f>
        <v>4</v>
      </c>
      <c r="P179" s="171">
        <f>SUM(P174:P178)</f>
        <v>1</v>
      </c>
      <c r="Q179" t="s">
        <v>181</v>
      </c>
      <c r="R179">
        <f>SUM(R174:R178)</f>
        <v>3</v>
      </c>
      <c r="S179" s="171">
        <f>SUM(S174:S178)</f>
        <v>1</v>
      </c>
      <c r="T179" t="s">
        <v>181</v>
      </c>
      <c r="U179">
        <f>SUM(U174:U178)</f>
        <v>2</v>
      </c>
      <c r="V179" s="171">
        <f>SUM(V174:V178)</f>
        <v>0.66666666666666663</v>
      </c>
      <c r="W179" t="s">
        <v>181</v>
      </c>
      <c r="X179">
        <f>SUM(X174:X178)</f>
        <v>1</v>
      </c>
      <c r="Y179" s="171">
        <f>SUM(Y174:Y178)</f>
        <v>0.33333333333333331</v>
      </c>
      <c r="AA179" s="251" t="s">
        <v>181</v>
      </c>
      <c r="AB179" s="267">
        <f>SUM(AB174:AB178)</f>
        <v>27</v>
      </c>
      <c r="AC179" s="263">
        <f>SUM(AC174:AC178)</f>
        <v>1</v>
      </c>
    </row>
    <row r="181" spans="8:29" ht="57.6">
      <c r="H181" s="234" t="s">
        <v>185</v>
      </c>
      <c r="I181" s="235" t="s">
        <v>186</v>
      </c>
      <c r="J181" s="235" t="s">
        <v>187</v>
      </c>
      <c r="K181" s="234" t="s">
        <v>185</v>
      </c>
      <c r="L181" s="235" t="s">
        <v>186</v>
      </c>
      <c r="M181" s="235" t="s">
        <v>187</v>
      </c>
      <c r="N181" s="234" t="s">
        <v>185</v>
      </c>
      <c r="O181" s="235" t="s">
        <v>186</v>
      </c>
      <c r="P181" s="235" t="s">
        <v>187</v>
      </c>
      <c r="Q181" s="234" t="s">
        <v>185</v>
      </c>
      <c r="R181" s="235" t="s">
        <v>186</v>
      </c>
      <c r="S181" s="236" t="s">
        <v>187</v>
      </c>
      <c r="T181" s="234" t="s">
        <v>185</v>
      </c>
      <c r="U181" s="235" t="s">
        <v>186</v>
      </c>
      <c r="V181" s="236" t="s">
        <v>187</v>
      </c>
      <c r="W181" s="234" t="s">
        <v>185</v>
      </c>
      <c r="X181" s="235" t="s">
        <v>186</v>
      </c>
      <c r="Y181" s="236" t="s">
        <v>187</v>
      </c>
      <c r="AA181" s="234" t="s">
        <v>185</v>
      </c>
      <c r="AB181" s="235" t="s">
        <v>255</v>
      </c>
      <c r="AC181" s="236" t="s">
        <v>256</v>
      </c>
    </row>
    <row r="182" spans="8:29">
      <c r="H182" s="239">
        <v>0.5</v>
      </c>
      <c r="I182" s="241">
        <f>H34/2</f>
        <v>0</v>
      </c>
      <c r="J182" s="285">
        <f>I182/I171</f>
        <v>0</v>
      </c>
      <c r="K182" s="239">
        <v>3</v>
      </c>
      <c r="L182" s="241">
        <f>SUM(K73:K81,K95:K103,K29:K37)</f>
        <v>0</v>
      </c>
      <c r="M182" s="285">
        <f>L182/L171</f>
        <v>0</v>
      </c>
      <c r="N182" s="239">
        <v>1</v>
      </c>
      <c r="O182" s="241">
        <f>N100</f>
        <v>1743000</v>
      </c>
      <c r="P182" s="285">
        <f>O182/O171</f>
        <v>0.62205567451820132</v>
      </c>
      <c r="Q182" s="239">
        <v>0</v>
      </c>
      <c r="R182" s="240"/>
      <c r="S182" s="285">
        <f>R182/R171</f>
        <v>0</v>
      </c>
      <c r="T182" s="239">
        <v>0</v>
      </c>
      <c r="U182" s="240"/>
      <c r="V182" s="285">
        <f>U182/U171</f>
        <v>0</v>
      </c>
      <c r="W182" s="239">
        <v>0</v>
      </c>
      <c r="X182" s="240"/>
      <c r="Y182" s="285">
        <f>X182/X171</f>
        <v>0</v>
      </c>
      <c r="AA182" s="287">
        <f>SUM(Q182,N182,K182,H182,T182,W182)</f>
        <v>4.5</v>
      </c>
      <c r="AB182" s="241">
        <f>SUM(R182,O182,L182,I182,U182,X182)</f>
        <v>1743000</v>
      </c>
      <c r="AC182" s="256">
        <f>AB182/AB171</f>
        <v>0.15371246016307455</v>
      </c>
    </row>
    <row r="183" spans="8:29" ht="28.9">
      <c r="AC183" s="228" t="s">
        <v>257</v>
      </c>
    </row>
    <row r="184" spans="8:29">
      <c r="AC184" s="231">
        <v>0.21</v>
      </c>
    </row>
  </sheetData>
  <sheetProtection selectLockedCells="1"/>
  <mergeCells count="395">
    <mergeCell ref="X5:X6"/>
    <mergeCell ref="Y5:Y6"/>
    <mergeCell ref="W16:W17"/>
    <mergeCell ref="X16:X17"/>
    <mergeCell ref="Y16:Y17"/>
    <mergeCell ref="W27:W28"/>
    <mergeCell ref="X27:X28"/>
    <mergeCell ref="Y27:Y28"/>
    <mergeCell ref="W38:W39"/>
    <mergeCell ref="X38:X39"/>
    <mergeCell ref="Y38:Y39"/>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E132:G132"/>
    <mergeCell ref="E133:G133"/>
    <mergeCell ref="E134:G134"/>
    <mergeCell ref="E135:G135"/>
    <mergeCell ref="E136:G136"/>
    <mergeCell ref="H130:J130"/>
    <mergeCell ref="K130:M130"/>
    <mergeCell ref="Z130:AA130"/>
    <mergeCell ref="E130:G130"/>
    <mergeCell ref="E131:G131"/>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tabSelected="1" view="pageBreakPreview" zoomScale="160" zoomScaleNormal="80" zoomScaleSheetLayoutView="160" zoomScalePageLayoutView="60" workbookViewId="0">
      <pane xSplit="6" ySplit="4" topLeftCell="U5" activePane="bottomRight" state="frozen"/>
      <selection pane="bottomRight" activeCell="A3" sqref="A3:AU3"/>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546" t="s">
        <v>258</v>
      </c>
      <c r="B1" s="546"/>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row>
    <row r="2" spans="1:47" ht="12" customHeight="1">
      <c r="A2" s="547"/>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7"/>
      <c r="AK2" s="547"/>
      <c r="AL2" s="547"/>
      <c r="AM2" s="547"/>
      <c r="AN2" s="547"/>
      <c r="AO2" s="547"/>
      <c r="AP2" s="547"/>
      <c r="AQ2" s="547"/>
      <c r="AR2" s="547"/>
      <c r="AS2" s="547"/>
      <c r="AT2" s="547"/>
      <c r="AU2" s="547"/>
    </row>
    <row r="3" spans="1:47" ht="15" customHeight="1">
      <c r="A3" s="548" t="s">
        <v>1</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548"/>
      <c r="AJ3" s="548"/>
      <c r="AK3" s="548"/>
      <c r="AL3" s="548"/>
      <c r="AM3" s="548"/>
      <c r="AN3" s="548"/>
      <c r="AO3" s="548"/>
      <c r="AP3" s="548"/>
      <c r="AQ3" s="548"/>
      <c r="AR3" s="548"/>
      <c r="AS3" s="548"/>
      <c r="AT3" s="548"/>
      <c r="AU3" s="548"/>
    </row>
    <row r="4" spans="1:47" ht="15" customHeight="1">
      <c r="A4" s="510" t="s">
        <v>2</v>
      </c>
      <c r="B4" s="511"/>
      <c r="C4" s="511"/>
      <c r="D4" s="511"/>
      <c r="E4" s="511"/>
      <c r="F4" s="549"/>
      <c r="G4" s="510" t="s">
        <v>3</v>
      </c>
      <c r="H4" s="511"/>
      <c r="I4" s="512"/>
      <c r="J4" s="510" t="s">
        <v>4</v>
      </c>
      <c r="K4" s="511"/>
      <c r="L4" s="512"/>
      <c r="M4" s="510" t="s">
        <v>5</v>
      </c>
      <c r="N4" s="511"/>
      <c r="O4" s="512"/>
      <c r="P4" s="510" t="s">
        <v>6</v>
      </c>
      <c r="Q4" s="511"/>
      <c r="R4" s="512"/>
      <c r="S4" s="510" t="s">
        <v>7</v>
      </c>
      <c r="T4" s="511"/>
      <c r="U4" s="512"/>
      <c r="V4" s="510" t="s">
        <v>8</v>
      </c>
      <c r="W4" s="511"/>
      <c r="X4" s="549"/>
      <c r="Y4" s="510" t="s">
        <v>9</v>
      </c>
      <c r="Z4" s="511"/>
      <c r="AA4" s="512"/>
      <c r="AB4" s="510" t="s">
        <v>10</v>
      </c>
      <c r="AC4" s="511"/>
      <c r="AD4" s="512"/>
      <c r="AE4" s="510" t="s">
        <v>11</v>
      </c>
      <c r="AF4" s="511"/>
      <c r="AG4" s="512"/>
      <c r="AH4" s="510" t="s">
        <v>12</v>
      </c>
      <c r="AI4" s="511"/>
      <c r="AJ4" s="512"/>
      <c r="AK4" s="510" t="s">
        <v>13</v>
      </c>
      <c r="AL4" s="511"/>
      <c r="AM4" s="512"/>
      <c r="AN4" s="510" t="s">
        <v>14</v>
      </c>
      <c r="AO4" s="511"/>
      <c r="AP4" s="512"/>
      <c r="AQ4" s="510" t="s">
        <v>15</v>
      </c>
      <c r="AR4" s="511"/>
      <c r="AS4" s="512"/>
      <c r="AT4" s="136" t="s">
        <v>17</v>
      </c>
      <c r="AU4" s="83"/>
    </row>
    <row r="5" spans="1:47" ht="15" customHeight="1">
      <c r="A5" s="538" t="s">
        <v>22</v>
      </c>
      <c r="B5" s="524" t="s">
        <v>18</v>
      </c>
      <c r="C5" s="524" t="s">
        <v>19</v>
      </c>
      <c r="D5" s="524" t="s">
        <v>203</v>
      </c>
      <c r="E5" s="524" t="s">
        <v>21</v>
      </c>
      <c r="F5" s="542" t="s">
        <v>23</v>
      </c>
      <c r="G5" s="504" t="s">
        <v>24</v>
      </c>
      <c r="H5" s="494" t="s">
        <v>25</v>
      </c>
      <c r="I5" s="496" t="s">
        <v>26</v>
      </c>
      <c r="J5" s="504" t="s">
        <v>24</v>
      </c>
      <c r="K5" s="494" t="s">
        <v>25</v>
      </c>
      <c r="L5" s="496" t="s">
        <v>26</v>
      </c>
      <c r="M5" s="504" t="s">
        <v>24</v>
      </c>
      <c r="N5" s="494" t="s">
        <v>25</v>
      </c>
      <c r="O5" s="496" t="s">
        <v>26</v>
      </c>
      <c r="P5" s="504" t="s">
        <v>24</v>
      </c>
      <c r="Q5" s="494" t="s">
        <v>25</v>
      </c>
      <c r="R5" s="496" t="s">
        <v>26</v>
      </c>
      <c r="S5" s="504" t="s">
        <v>24</v>
      </c>
      <c r="T5" s="494" t="s">
        <v>25</v>
      </c>
      <c r="U5" s="496" t="s">
        <v>26</v>
      </c>
      <c r="V5" s="504" t="s">
        <v>24</v>
      </c>
      <c r="W5" s="494" t="s">
        <v>25</v>
      </c>
      <c r="X5" s="534" t="s">
        <v>26</v>
      </c>
      <c r="Y5" s="504" t="s">
        <v>24</v>
      </c>
      <c r="Z5" s="494" t="s">
        <v>25</v>
      </c>
      <c r="AA5" s="496" t="s">
        <v>26</v>
      </c>
      <c r="AB5" s="504" t="s">
        <v>24</v>
      </c>
      <c r="AC5" s="494" t="s">
        <v>25</v>
      </c>
      <c r="AD5" s="496" t="s">
        <v>26</v>
      </c>
      <c r="AE5" s="504" t="s">
        <v>24</v>
      </c>
      <c r="AF5" s="494" t="s">
        <v>25</v>
      </c>
      <c r="AG5" s="496" t="s">
        <v>26</v>
      </c>
      <c r="AH5" s="504" t="s">
        <v>24</v>
      </c>
      <c r="AI5" s="494" t="s">
        <v>25</v>
      </c>
      <c r="AJ5" s="496" t="s">
        <v>26</v>
      </c>
      <c r="AK5" s="504" t="s">
        <v>24</v>
      </c>
      <c r="AL5" s="494" t="s">
        <v>25</v>
      </c>
      <c r="AM5" s="496" t="s">
        <v>26</v>
      </c>
      <c r="AN5" s="504" t="s">
        <v>24</v>
      </c>
      <c r="AO5" s="494" t="s">
        <v>25</v>
      </c>
      <c r="AP5" s="496" t="s">
        <v>26</v>
      </c>
      <c r="AQ5" s="504" t="s">
        <v>24</v>
      </c>
      <c r="AR5" s="494" t="s">
        <v>25</v>
      </c>
      <c r="AS5" s="496" t="s">
        <v>26</v>
      </c>
      <c r="AT5" s="536" t="s">
        <v>24</v>
      </c>
      <c r="AU5" s="544" t="s">
        <v>27</v>
      </c>
    </row>
    <row r="6" spans="1:47" ht="25.5" customHeight="1">
      <c r="A6" s="539"/>
      <c r="B6" s="525"/>
      <c r="C6" s="525"/>
      <c r="D6" s="525"/>
      <c r="E6" s="525"/>
      <c r="F6" s="543"/>
      <c r="G6" s="505"/>
      <c r="H6" s="495"/>
      <c r="I6" s="497"/>
      <c r="J6" s="505"/>
      <c r="K6" s="495"/>
      <c r="L6" s="497"/>
      <c r="M6" s="505"/>
      <c r="N6" s="495"/>
      <c r="O6" s="497"/>
      <c r="P6" s="505"/>
      <c r="Q6" s="495"/>
      <c r="R6" s="497"/>
      <c r="S6" s="505"/>
      <c r="T6" s="495"/>
      <c r="U6" s="497"/>
      <c r="V6" s="505"/>
      <c r="W6" s="495"/>
      <c r="X6" s="535"/>
      <c r="Y6" s="505"/>
      <c r="Z6" s="495"/>
      <c r="AA6" s="497"/>
      <c r="AB6" s="505"/>
      <c r="AC6" s="495"/>
      <c r="AD6" s="497"/>
      <c r="AE6" s="505"/>
      <c r="AF6" s="495"/>
      <c r="AG6" s="497"/>
      <c r="AH6" s="505"/>
      <c r="AI6" s="495"/>
      <c r="AJ6" s="497"/>
      <c r="AK6" s="505"/>
      <c r="AL6" s="495"/>
      <c r="AM6" s="497"/>
      <c r="AN6" s="505"/>
      <c r="AO6" s="495"/>
      <c r="AP6" s="497"/>
      <c r="AQ6" s="505"/>
      <c r="AR6" s="495"/>
      <c r="AS6" s="497"/>
      <c r="AT6" s="537"/>
      <c r="AU6" s="545"/>
    </row>
    <row r="7" spans="1:47">
      <c r="A7" s="526" t="s">
        <v>259</v>
      </c>
      <c r="B7" s="540" t="s">
        <v>260</v>
      </c>
      <c r="C7" s="528">
        <v>2916</v>
      </c>
      <c r="D7" s="530" t="s">
        <v>261</v>
      </c>
      <c r="E7" s="532" t="s">
        <v>262</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526"/>
      <c r="B8" s="540"/>
      <c r="C8" s="528"/>
      <c r="D8" s="530"/>
      <c r="E8" s="532"/>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526"/>
      <c r="B9" s="540"/>
      <c r="C9" s="528"/>
      <c r="D9" s="530"/>
      <c r="E9" s="532"/>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526"/>
      <c r="B10" s="540"/>
      <c r="C10" s="528"/>
      <c r="D10" s="530"/>
      <c r="E10" s="532"/>
      <c r="F10" s="91" t="s">
        <v>263</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526"/>
      <c r="B11" s="540"/>
      <c r="C11" s="528"/>
      <c r="D11" s="530"/>
      <c r="E11" s="532"/>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526"/>
      <c r="B12" s="540"/>
      <c r="C12" s="528"/>
      <c r="D12" s="530"/>
      <c r="E12" s="532"/>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526"/>
      <c r="B13" s="540"/>
      <c r="C13" s="528"/>
      <c r="D13" s="530"/>
      <c r="E13" s="532"/>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526"/>
      <c r="B14" s="540"/>
      <c r="C14" s="528"/>
      <c r="D14" s="530"/>
      <c r="E14" s="532"/>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526"/>
      <c r="B15" s="540"/>
      <c r="C15" s="528"/>
      <c r="D15" s="530"/>
      <c r="E15" s="532"/>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527"/>
      <c r="B16" s="541"/>
      <c r="C16" s="529"/>
      <c r="D16" s="531"/>
      <c r="E16" s="533"/>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538" t="s">
        <v>22</v>
      </c>
      <c r="B17" s="524" t="s">
        <v>18</v>
      </c>
      <c r="C17" s="524" t="s">
        <v>19</v>
      </c>
      <c r="D17" s="524" t="s">
        <v>203</v>
      </c>
      <c r="E17" s="524" t="s">
        <v>21</v>
      </c>
      <c r="F17" s="542" t="s">
        <v>23</v>
      </c>
      <c r="G17" s="504" t="s">
        <v>24</v>
      </c>
      <c r="H17" s="494" t="s">
        <v>25</v>
      </c>
      <c r="I17" s="496" t="s">
        <v>26</v>
      </c>
      <c r="J17" s="504" t="s">
        <v>24</v>
      </c>
      <c r="K17" s="494" t="s">
        <v>25</v>
      </c>
      <c r="L17" s="496" t="s">
        <v>26</v>
      </c>
      <c r="M17" s="504" t="s">
        <v>24</v>
      </c>
      <c r="N17" s="494" t="s">
        <v>25</v>
      </c>
      <c r="O17" s="496" t="s">
        <v>26</v>
      </c>
      <c r="P17" s="504" t="s">
        <v>24</v>
      </c>
      <c r="Q17" s="494" t="s">
        <v>25</v>
      </c>
      <c r="R17" s="496" t="s">
        <v>26</v>
      </c>
      <c r="S17" s="504" t="s">
        <v>24</v>
      </c>
      <c r="T17" s="494" t="s">
        <v>25</v>
      </c>
      <c r="U17" s="496" t="s">
        <v>26</v>
      </c>
      <c r="V17" s="504" t="s">
        <v>24</v>
      </c>
      <c r="W17" s="494" t="s">
        <v>25</v>
      </c>
      <c r="X17" s="534" t="s">
        <v>26</v>
      </c>
      <c r="Y17" s="504" t="s">
        <v>24</v>
      </c>
      <c r="Z17" s="494" t="s">
        <v>25</v>
      </c>
      <c r="AA17" s="496" t="s">
        <v>26</v>
      </c>
      <c r="AB17" s="504" t="s">
        <v>24</v>
      </c>
      <c r="AC17" s="494" t="s">
        <v>25</v>
      </c>
      <c r="AD17" s="496" t="s">
        <v>26</v>
      </c>
      <c r="AE17" s="504" t="s">
        <v>24</v>
      </c>
      <c r="AF17" s="494" t="s">
        <v>25</v>
      </c>
      <c r="AG17" s="496" t="s">
        <v>26</v>
      </c>
      <c r="AH17" s="504" t="s">
        <v>24</v>
      </c>
      <c r="AI17" s="494" t="s">
        <v>25</v>
      </c>
      <c r="AJ17" s="496" t="s">
        <v>26</v>
      </c>
      <c r="AK17" s="504" t="s">
        <v>24</v>
      </c>
      <c r="AL17" s="494" t="s">
        <v>25</v>
      </c>
      <c r="AM17" s="496" t="s">
        <v>26</v>
      </c>
      <c r="AN17" s="504" t="s">
        <v>24</v>
      </c>
      <c r="AO17" s="494" t="s">
        <v>25</v>
      </c>
      <c r="AP17" s="496" t="s">
        <v>26</v>
      </c>
      <c r="AQ17" s="504" t="s">
        <v>24</v>
      </c>
      <c r="AR17" s="494" t="s">
        <v>25</v>
      </c>
      <c r="AS17" s="496" t="s">
        <v>26</v>
      </c>
      <c r="AT17" s="536" t="s">
        <v>24</v>
      </c>
      <c r="AU17" s="544" t="s">
        <v>27</v>
      </c>
    </row>
    <row r="18" spans="1:47" ht="19.5" customHeight="1">
      <c r="A18" s="539"/>
      <c r="B18" s="525"/>
      <c r="C18" s="525"/>
      <c r="D18" s="525"/>
      <c r="E18" s="525"/>
      <c r="F18" s="543"/>
      <c r="G18" s="505"/>
      <c r="H18" s="495"/>
      <c r="I18" s="497"/>
      <c r="J18" s="505"/>
      <c r="K18" s="495"/>
      <c r="L18" s="497"/>
      <c r="M18" s="505"/>
      <c r="N18" s="495"/>
      <c r="O18" s="497"/>
      <c r="P18" s="505"/>
      <c r="Q18" s="495"/>
      <c r="R18" s="497"/>
      <c r="S18" s="505"/>
      <c r="T18" s="495"/>
      <c r="U18" s="497"/>
      <c r="V18" s="505"/>
      <c r="W18" s="495"/>
      <c r="X18" s="535"/>
      <c r="Y18" s="505"/>
      <c r="Z18" s="495"/>
      <c r="AA18" s="497"/>
      <c r="AB18" s="505"/>
      <c r="AC18" s="495"/>
      <c r="AD18" s="497"/>
      <c r="AE18" s="505"/>
      <c r="AF18" s="495"/>
      <c r="AG18" s="497"/>
      <c r="AH18" s="505"/>
      <c r="AI18" s="495"/>
      <c r="AJ18" s="497"/>
      <c r="AK18" s="505"/>
      <c r="AL18" s="495"/>
      <c r="AM18" s="497"/>
      <c r="AN18" s="505"/>
      <c r="AO18" s="495"/>
      <c r="AP18" s="497"/>
      <c r="AQ18" s="505"/>
      <c r="AR18" s="495"/>
      <c r="AS18" s="497"/>
      <c r="AT18" s="537"/>
      <c r="AU18" s="545"/>
    </row>
    <row r="19" spans="1:47" ht="49.5" customHeight="1">
      <c r="A19" s="526" t="s">
        <v>208</v>
      </c>
      <c r="B19" s="540" t="s">
        <v>264</v>
      </c>
      <c r="C19" s="528">
        <v>2084</v>
      </c>
      <c r="D19" s="530" t="s">
        <v>265</v>
      </c>
      <c r="E19" s="532" t="s">
        <v>266</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526"/>
      <c r="B20" s="540"/>
      <c r="C20" s="528"/>
      <c r="D20" s="530"/>
      <c r="E20" s="532"/>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526"/>
      <c r="B21" s="540"/>
      <c r="C21" s="528"/>
      <c r="D21" s="530"/>
      <c r="E21" s="532"/>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526"/>
      <c r="B22" s="540"/>
      <c r="C22" s="528"/>
      <c r="D22" s="530"/>
      <c r="E22" s="532"/>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526"/>
      <c r="B23" s="540"/>
      <c r="C23" s="528"/>
      <c r="D23" s="530"/>
      <c r="E23" s="532"/>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526"/>
      <c r="B24" s="540"/>
      <c r="C24" s="528"/>
      <c r="D24" s="530"/>
      <c r="E24" s="532"/>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8"/>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526"/>
      <c r="B25" s="540"/>
      <c r="C25" s="528"/>
      <c r="D25" s="530"/>
      <c r="E25" s="532"/>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19"/>
      <c r="Z25" s="220">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526"/>
      <c r="B26" s="540"/>
      <c r="C26" s="528"/>
      <c r="D26" s="530"/>
      <c r="E26" s="532"/>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527"/>
      <c r="B27" s="541"/>
      <c r="C27" s="529"/>
      <c r="D27" s="531"/>
      <c r="E27" s="533"/>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538" t="s">
        <v>22</v>
      </c>
      <c r="B28" s="524" t="s">
        <v>18</v>
      </c>
      <c r="C28" s="524" t="s">
        <v>19</v>
      </c>
      <c r="D28" s="524" t="s">
        <v>203</v>
      </c>
      <c r="E28" s="524" t="s">
        <v>21</v>
      </c>
      <c r="F28" s="542" t="s">
        <v>23</v>
      </c>
      <c r="G28" s="504" t="s">
        <v>24</v>
      </c>
      <c r="H28" s="494" t="s">
        <v>25</v>
      </c>
      <c r="I28" s="496" t="s">
        <v>26</v>
      </c>
      <c r="J28" s="504" t="s">
        <v>24</v>
      </c>
      <c r="K28" s="494" t="s">
        <v>25</v>
      </c>
      <c r="L28" s="496" t="s">
        <v>26</v>
      </c>
      <c r="M28" s="504" t="s">
        <v>24</v>
      </c>
      <c r="N28" s="494" t="s">
        <v>25</v>
      </c>
      <c r="O28" s="496" t="s">
        <v>26</v>
      </c>
      <c r="P28" s="504" t="s">
        <v>24</v>
      </c>
      <c r="Q28" s="494" t="s">
        <v>25</v>
      </c>
      <c r="R28" s="496" t="s">
        <v>26</v>
      </c>
      <c r="S28" s="504" t="s">
        <v>24</v>
      </c>
      <c r="T28" s="494" t="s">
        <v>25</v>
      </c>
      <c r="U28" s="496" t="s">
        <v>26</v>
      </c>
      <c r="V28" s="504" t="s">
        <v>24</v>
      </c>
      <c r="W28" s="494" t="s">
        <v>25</v>
      </c>
      <c r="X28" s="534" t="s">
        <v>26</v>
      </c>
      <c r="Y28" s="504" t="s">
        <v>24</v>
      </c>
      <c r="Z28" s="494" t="s">
        <v>25</v>
      </c>
      <c r="AA28" s="496" t="s">
        <v>26</v>
      </c>
      <c r="AB28" s="504" t="s">
        <v>24</v>
      </c>
      <c r="AC28" s="494" t="s">
        <v>25</v>
      </c>
      <c r="AD28" s="496" t="s">
        <v>26</v>
      </c>
      <c r="AE28" s="504" t="s">
        <v>24</v>
      </c>
      <c r="AF28" s="494" t="s">
        <v>25</v>
      </c>
      <c r="AG28" s="496" t="s">
        <v>26</v>
      </c>
      <c r="AH28" s="504" t="s">
        <v>24</v>
      </c>
      <c r="AI28" s="494" t="s">
        <v>25</v>
      </c>
      <c r="AJ28" s="496" t="s">
        <v>26</v>
      </c>
      <c r="AK28" s="504" t="s">
        <v>24</v>
      </c>
      <c r="AL28" s="494" t="s">
        <v>25</v>
      </c>
      <c r="AM28" s="496" t="s">
        <v>26</v>
      </c>
      <c r="AN28" s="504" t="s">
        <v>24</v>
      </c>
      <c r="AO28" s="494" t="s">
        <v>25</v>
      </c>
      <c r="AP28" s="496" t="s">
        <v>26</v>
      </c>
      <c r="AQ28" s="504" t="s">
        <v>24</v>
      </c>
      <c r="AR28" s="494" t="s">
        <v>25</v>
      </c>
      <c r="AS28" s="496" t="s">
        <v>26</v>
      </c>
      <c r="AT28" s="536" t="s">
        <v>24</v>
      </c>
      <c r="AU28" s="544" t="s">
        <v>27</v>
      </c>
    </row>
    <row r="29" spans="1:47" ht="63.75" customHeight="1">
      <c r="A29" s="539"/>
      <c r="B29" s="525"/>
      <c r="C29" s="525"/>
      <c r="D29" s="525"/>
      <c r="E29" s="525"/>
      <c r="F29" s="543"/>
      <c r="G29" s="505"/>
      <c r="H29" s="495"/>
      <c r="I29" s="497"/>
      <c r="J29" s="505"/>
      <c r="K29" s="495"/>
      <c r="L29" s="497"/>
      <c r="M29" s="505"/>
      <c r="N29" s="495"/>
      <c r="O29" s="497"/>
      <c r="P29" s="505"/>
      <c r="Q29" s="495"/>
      <c r="R29" s="497"/>
      <c r="S29" s="505"/>
      <c r="T29" s="495"/>
      <c r="U29" s="497"/>
      <c r="V29" s="505"/>
      <c r="W29" s="495"/>
      <c r="X29" s="535"/>
      <c r="Y29" s="505"/>
      <c r="Z29" s="495"/>
      <c r="AA29" s="497"/>
      <c r="AB29" s="505"/>
      <c r="AC29" s="495"/>
      <c r="AD29" s="497"/>
      <c r="AE29" s="505"/>
      <c r="AF29" s="495"/>
      <c r="AG29" s="497"/>
      <c r="AH29" s="505"/>
      <c r="AI29" s="495"/>
      <c r="AJ29" s="497"/>
      <c r="AK29" s="505"/>
      <c r="AL29" s="495"/>
      <c r="AM29" s="497"/>
      <c r="AN29" s="505"/>
      <c r="AO29" s="495"/>
      <c r="AP29" s="497"/>
      <c r="AQ29" s="505"/>
      <c r="AR29" s="495"/>
      <c r="AS29" s="497"/>
      <c r="AT29" s="537"/>
      <c r="AU29" s="545"/>
    </row>
    <row r="30" spans="1:47" ht="51" customHeight="1">
      <c r="A30" s="526" t="s">
        <v>208</v>
      </c>
      <c r="B30" s="540" t="s">
        <v>267</v>
      </c>
      <c r="C30" s="528">
        <v>2774</v>
      </c>
      <c r="D30" s="530" t="s">
        <v>86</v>
      </c>
      <c r="E30" s="532" t="s">
        <v>268</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526"/>
      <c r="B31" s="540"/>
      <c r="C31" s="528"/>
      <c r="D31" s="530"/>
      <c r="E31" s="532"/>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526"/>
      <c r="B32" s="540"/>
      <c r="C32" s="528"/>
      <c r="D32" s="530"/>
      <c r="E32" s="532"/>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526"/>
      <c r="B33" s="540"/>
      <c r="C33" s="528"/>
      <c r="D33" s="530"/>
      <c r="E33" s="532"/>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526"/>
      <c r="B34" s="540"/>
      <c r="C34" s="528"/>
      <c r="D34" s="530"/>
      <c r="E34" s="532"/>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526"/>
      <c r="B35" s="540"/>
      <c r="C35" s="528"/>
      <c r="D35" s="530"/>
      <c r="E35" s="532"/>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526"/>
      <c r="B36" s="540"/>
      <c r="C36" s="528"/>
      <c r="D36" s="530"/>
      <c r="E36" s="532"/>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526"/>
      <c r="B37" s="540"/>
      <c r="C37" s="528"/>
      <c r="D37" s="530"/>
      <c r="E37" s="532"/>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527"/>
      <c r="B38" s="541"/>
      <c r="C38" s="529"/>
      <c r="D38" s="531"/>
      <c r="E38" s="533"/>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538" t="s">
        <v>22</v>
      </c>
      <c r="B39" s="524" t="s">
        <v>18</v>
      </c>
      <c r="C39" s="524" t="s">
        <v>19</v>
      </c>
      <c r="D39" s="524" t="s">
        <v>203</v>
      </c>
      <c r="E39" s="524" t="s">
        <v>21</v>
      </c>
      <c r="F39" s="542" t="s">
        <v>23</v>
      </c>
      <c r="G39" s="504" t="s">
        <v>24</v>
      </c>
      <c r="H39" s="494" t="s">
        <v>25</v>
      </c>
      <c r="I39" s="496" t="s">
        <v>26</v>
      </c>
      <c r="J39" s="504" t="s">
        <v>24</v>
      </c>
      <c r="K39" s="494" t="s">
        <v>25</v>
      </c>
      <c r="L39" s="496" t="s">
        <v>26</v>
      </c>
      <c r="M39" s="504" t="s">
        <v>24</v>
      </c>
      <c r="N39" s="494" t="s">
        <v>25</v>
      </c>
      <c r="O39" s="496" t="s">
        <v>26</v>
      </c>
      <c r="P39" s="504" t="s">
        <v>24</v>
      </c>
      <c r="Q39" s="494" t="s">
        <v>25</v>
      </c>
      <c r="R39" s="496" t="s">
        <v>26</v>
      </c>
      <c r="S39" s="504" t="s">
        <v>24</v>
      </c>
      <c r="T39" s="494" t="s">
        <v>25</v>
      </c>
      <c r="U39" s="496" t="s">
        <v>26</v>
      </c>
      <c r="V39" s="504" t="s">
        <v>24</v>
      </c>
      <c r="W39" s="494" t="s">
        <v>25</v>
      </c>
      <c r="X39" s="534" t="s">
        <v>26</v>
      </c>
      <c r="Y39" s="504" t="s">
        <v>24</v>
      </c>
      <c r="Z39" s="494" t="s">
        <v>25</v>
      </c>
      <c r="AA39" s="496" t="s">
        <v>26</v>
      </c>
      <c r="AB39" s="504" t="s">
        <v>24</v>
      </c>
      <c r="AC39" s="494" t="s">
        <v>25</v>
      </c>
      <c r="AD39" s="496" t="s">
        <v>26</v>
      </c>
      <c r="AE39" s="504" t="s">
        <v>24</v>
      </c>
      <c r="AF39" s="494" t="s">
        <v>25</v>
      </c>
      <c r="AG39" s="496" t="s">
        <v>26</v>
      </c>
      <c r="AH39" s="504" t="s">
        <v>24</v>
      </c>
      <c r="AI39" s="494" t="s">
        <v>25</v>
      </c>
      <c r="AJ39" s="496" t="s">
        <v>26</v>
      </c>
      <c r="AK39" s="504" t="s">
        <v>24</v>
      </c>
      <c r="AL39" s="494" t="s">
        <v>25</v>
      </c>
      <c r="AM39" s="496" t="s">
        <v>26</v>
      </c>
      <c r="AN39" s="504" t="s">
        <v>24</v>
      </c>
      <c r="AO39" s="494" t="s">
        <v>25</v>
      </c>
      <c r="AP39" s="496" t="s">
        <v>26</v>
      </c>
      <c r="AQ39" s="504" t="s">
        <v>24</v>
      </c>
      <c r="AR39" s="494" t="s">
        <v>25</v>
      </c>
      <c r="AS39" s="496" t="s">
        <v>26</v>
      </c>
      <c r="AT39" s="536" t="s">
        <v>24</v>
      </c>
      <c r="AU39" s="544" t="s">
        <v>27</v>
      </c>
    </row>
    <row r="40" spans="1:47" ht="15" customHeight="1">
      <c r="A40" s="539"/>
      <c r="B40" s="525"/>
      <c r="C40" s="525"/>
      <c r="D40" s="525"/>
      <c r="E40" s="525"/>
      <c r="F40" s="543"/>
      <c r="G40" s="505"/>
      <c r="H40" s="495"/>
      <c r="I40" s="497"/>
      <c r="J40" s="505"/>
      <c r="K40" s="495"/>
      <c r="L40" s="497"/>
      <c r="M40" s="505"/>
      <c r="N40" s="495"/>
      <c r="O40" s="497"/>
      <c r="P40" s="505"/>
      <c r="Q40" s="495"/>
      <c r="R40" s="497"/>
      <c r="S40" s="505"/>
      <c r="T40" s="495"/>
      <c r="U40" s="497"/>
      <c r="V40" s="505"/>
      <c r="W40" s="495"/>
      <c r="X40" s="535"/>
      <c r="Y40" s="505"/>
      <c r="Z40" s="495"/>
      <c r="AA40" s="497"/>
      <c r="AB40" s="505"/>
      <c r="AC40" s="495"/>
      <c r="AD40" s="497"/>
      <c r="AE40" s="505"/>
      <c r="AF40" s="495"/>
      <c r="AG40" s="497"/>
      <c r="AH40" s="505"/>
      <c r="AI40" s="495"/>
      <c r="AJ40" s="497"/>
      <c r="AK40" s="505"/>
      <c r="AL40" s="495"/>
      <c r="AM40" s="497"/>
      <c r="AN40" s="505"/>
      <c r="AO40" s="495"/>
      <c r="AP40" s="497"/>
      <c r="AQ40" s="505"/>
      <c r="AR40" s="495"/>
      <c r="AS40" s="497"/>
      <c r="AT40" s="537"/>
      <c r="AU40" s="545"/>
    </row>
    <row r="41" spans="1:47" ht="15" customHeight="1">
      <c r="A41" s="526" t="s">
        <v>208</v>
      </c>
      <c r="B41" s="540" t="s">
        <v>269</v>
      </c>
      <c r="C41" s="528">
        <v>2082</v>
      </c>
      <c r="D41" s="556" t="s">
        <v>270</v>
      </c>
      <c r="E41" s="532" t="s">
        <v>271</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526"/>
      <c r="B42" s="540"/>
      <c r="C42" s="528"/>
      <c r="D42" s="556"/>
      <c r="E42" s="532"/>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526"/>
      <c r="B43" s="540"/>
      <c r="C43" s="528"/>
      <c r="D43" s="556"/>
      <c r="E43" s="532"/>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526"/>
      <c r="B44" s="540"/>
      <c r="C44" s="528"/>
      <c r="D44" s="556"/>
      <c r="E44" s="532"/>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526"/>
      <c r="B45" s="540"/>
      <c r="C45" s="528"/>
      <c r="D45" s="556"/>
      <c r="E45" s="532"/>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526"/>
      <c r="B46" s="540"/>
      <c r="C46" s="528"/>
      <c r="D46" s="556"/>
      <c r="E46" s="532"/>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526"/>
      <c r="B47" s="540"/>
      <c r="C47" s="528"/>
      <c r="D47" s="556"/>
      <c r="E47" s="532"/>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526"/>
      <c r="B48" s="540"/>
      <c r="C48" s="528"/>
      <c r="D48" s="556"/>
      <c r="E48" s="532"/>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527"/>
      <c r="B49" s="541"/>
      <c r="C49" s="529"/>
      <c r="D49" s="559"/>
      <c r="E49" s="533"/>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538" t="s">
        <v>22</v>
      </c>
      <c r="B50" s="524" t="s">
        <v>18</v>
      </c>
      <c r="C50" s="524" t="s">
        <v>19</v>
      </c>
      <c r="D50" s="524" t="s">
        <v>203</v>
      </c>
      <c r="E50" s="524" t="s">
        <v>21</v>
      </c>
      <c r="F50" s="542" t="s">
        <v>23</v>
      </c>
      <c r="G50" s="504" t="s">
        <v>24</v>
      </c>
      <c r="H50" s="494" t="s">
        <v>25</v>
      </c>
      <c r="I50" s="496" t="s">
        <v>26</v>
      </c>
      <c r="J50" s="504" t="s">
        <v>24</v>
      </c>
      <c r="K50" s="494" t="s">
        <v>25</v>
      </c>
      <c r="L50" s="496" t="s">
        <v>26</v>
      </c>
      <c r="M50" s="504" t="s">
        <v>24</v>
      </c>
      <c r="N50" s="494" t="s">
        <v>25</v>
      </c>
      <c r="O50" s="496" t="s">
        <v>26</v>
      </c>
      <c r="P50" s="504" t="s">
        <v>24</v>
      </c>
      <c r="Q50" s="494" t="s">
        <v>25</v>
      </c>
      <c r="R50" s="496" t="s">
        <v>26</v>
      </c>
      <c r="S50" s="504" t="s">
        <v>24</v>
      </c>
      <c r="T50" s="494" t="s">
        <v>25</v>
      </c>
      <c r="U50" s="496" t="s">
        <v>26</v>
      </c>
      <c r="V50" s="504" t="s">
        <v>24</v>
      </c>
      <c r="W50" s="494" t="s">
        <v>25</v>
      </c>
      <c r="X50" s="534" t="s">
        <v>26</v>
      </c>
      <c r="Y50" s="504" t="s">
        <v>24</v>
      </c>
      <c r="Z50" s="494" t="s">
        <v>25</v>
      </c>
      <c r="AA50" s="496" t="s">
        <v>26</v>
      </c>
      <c r="AB50" s="504" t="s">
        <v>24</v>
      </c>
      <c r="AC50" s="494" t="s">
        <v>25</v>
      </c>
      <c r="AD50" s="496" t="s">
        <v>26</v>
      </c>
      <c r="AE50" s="504" t="s">
        <v>24</v>
      </c>
      <c r="AF50" s="494" t="s">
        <v>25</v>
      </c>
      <c r="AG50" s="496" t="s">
        <v>26</v>
      </c>
      <c r="AH50" s="504" t="s">
        <v>24</v>
      </c>
      <c r="AI50" s="494" t="s">
        <v>25</v>
      </c>
      <c r="AJ50" s="496" t="s">
        <v>26</v>
      </c>
      <c r="AK50" s="504" t="s">
        <v>24</v>
      </c>
      <c r="AL50" s="494" t="s">
        <v>25</v>
      </c>
      <c r="AM50" s="496" t="s">
        <v>26</v>
      </c>
      <c r="AN50" s="504" t="s">
        <v>24</v>
      </c>
      <c r="AO50" s="494" t="s">
        <v>25</v>
      </c>
      <c r="AP50" s="496" t="s">
        <v>26</v>
      </c>
      <c r="AQ50" s="504" t="s">
        <v>24</v>
      </c>
      <c r="AR50" s="494" t="s">
        <v>25</v>
      </c>
      <c r="AS50" s="496" t="s">
        <v>26</v>
      </c>
      <c r="AT50" s="536" t="s">
        <v>24</v>
      </c>
      <c r="AU50" s="544" t="s">
        <v>27</v>
      </c>
    </row>
    <row r="51" spans="1:47" ht="15" customHeight="1">
      <c r="A51" s="539"/>
      <c r="B51" s="525"/>
      <c r="C51" s="525"/>
      <c r="D51" s="525"/>
      <c r="E51" s="525"/>
      <c r="F51" s="543"/>
      <c r="G51" s="505"/>
      <c r="H51" s="495"/>
      <c r="I51" s="497"/>
      <c r="J51" s="505"/>
      <c r="K51" s="495"/>
      <c r="L51" s="497"/>
      <c r="M51" s="505"/>
      <c r="N51" s="495"/>
      <c r="O51" s="497"/>
      <c r="P51" s="505"/>
      <c r="Q51" s="495"/>
      <c r="R51" s="497"/>
      <c r="S51" s="505"/>
      <c r="T51" s="495"/>
      <c r="U51" s="497"/>
      <c r="V51" s="505"/>
      <c r="W51" s="495"/>
      <c r="X51" s="535"/>
      <c r="Y51" s="505"/>
      <c r="Z51" s="495"/>
      <c r="AA51" s="497"/>
      <c r="AB51" s="505"/>
      <c r="AC51" s="495"/>
      <c r="AD51" s="497"/>
      <c r="AE51" s="505"/>
      <c r="AF51" s="495"/>
      <c r="AG51" s="497"/>
      <c r="AH51" s="505"/>
      <c r="AI51" s="495"/>
      <c r="AJ51" s="497"/>
      <c r="AK51" s="505"/>
      <c r="AL51" s="495"/>
      <c r="AM51" s="497"/>
      <c r="AN51" s="505"/>
      <c r="AO51" s="495"/>
      <c r="AP51" s="497"/>
      <c r="AQ51" s="505"/>
      <c r="AR51" s="495"/>
      <c r="AS51" s="497"/>
      <c r="AT51" s="537"/>
      <c r="AU51" s="545"/>
    </row>
    <row r="52" spans="1:47" ht="15" customHeight="1">
      <c r="A52" s="526" t="s">
        <v>208</v>
      </c>
      <c r="B52" s="540" t="s">
        <v>272</v>
      </c>
      <c r="C52" s="528">
        <v>2619</v>
      </c>
      <c r="D52" s="530" t="s">
        <v>273</v>
      </c>
      <c r="E52" s="532" t="s">
        <v>274</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526"/>
      <c r="B53" s="540"/>
      <c r="C53" s="528"/>
      <c r="D53" s="530"/>
      <c r="E53" s="532"/>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526"/>
      <c r="B54" s="540"/>
      <c r="C54" s="528"/>
      <c r="D54" s="530"/>
      <c r="E54" s="532"/>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526"/>
      <c r="B55" s="540"/>
      <c r="C55" s="528"/>
      <c r="D55" s="530"/>
      <c r="E55" s="532"/>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526"/>
      <c r="B56" s="540"/>
      <c r="C56" s="528"/>
      <c r="D56" s="530"/>
      <c r="E56" s="532"/>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526"/>
      <c r="B57" s="540"/>
      <c r="C57" s="528"/>
      <c r="D57" s="530"/>
      <c r="E57" s="532"/>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526"/>
      <c r="B58" s="540"/>
      <c r="C58" s="528"/>
      <c r="D58" s="530"/>
      <c r="E58" s="532"/>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526"/>
      <c r="B59" s="540"/>
      <c r="C59" s="528"/>
      <c r="D59" s="530"/>
      <c r="E59" s="532"/>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527"/>
      <c r="B60" s="541"/>
      <c r="C60" s="529"/>
      <c r="D60" s="531"/>
      <c r="E60" s="533"/>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489" t="s">
        <v>22</v>
      </c>
      <c r="B61" s="491" t="s">
        <v>18</v>
      </c>
      <c r="C61" s="491" t="s">
        <v>19</v>
      </c>
      <c r="D61" s="491" t="s">
        <v>203</v>
      </c>
      <c r="E61" s="491" t="s">
        <v>21</v>
      </c>
      <c r="F61" s="550" t="s">
        <v>23</v>
      </c>
      <c r="G61" s="466" t="s">
        <v>24</v>
      </c>
      <c r="H61" s="468" t="s">
        <v>25</v>
      </c>
      <c r="I61" s="470" t="s">
        <v>26</v>
      </c>
      <c r="J61" s="466" t="s">
        <v>24</v>
      </c>
      <c r="K61" s="468" t="s">
        <v>25</v>
      </c>
      <c r="L61" s="470" t="s">
        <v>26</v>
      </c>
      <c r="M61" s="466" t="s">
        <v>24</v>
      </c>
      <c r="N61" s="468" t="s">
        <v>25</v>
      </c>
      <c r="O61" s="470" t="s">
        <v>26</v>
      </c>
      <c r="P61" s="466" t="s">
        <v>24</v>
      </c>
      <c r="Q61" s="468" t="s">
        <v>25</v>
      </c>
      <c r="R61" s="470" t="s">
        <v>26</v>
      </c>
      <c r="S61" s="466" t="s">
        <v>24</v>
      </c>
      <c r="T61" s="468" t="s">
        <v>25</v>
      </c>
      <c r="U61" s="470" t="s">
        <v>26</v>
      </c>
      <c r="V61" s="466" t="s">
        <v>24</v>
      </c>
      <c r="W61" s="468" t="s">
        <v>25</v>
      </c>
      <c r="X61" s="551" t="s">
        <v>26</v>
      </c>
      <c r="Y61" s="466" t="s">
        <v>24</v>
      </c>
      <c r="Z61" s="468" t="s">
        <v>25</v>
      </c>
      <c r="AA61" s="470" t="s">
        <v>26</v>
      </c>
      <c r="AB61" s="466" t="s">
        <v>24</v>
      </c>
      <c r="AC61" s="468" t="s">
        <v>25</v>
      </c>
      <c r="AD61" s="470" t="s">
        <v>26</v>
      </c>
      <c r="AE61" s="466" t="s">
        <v>24</v>
      </c>
      <c r="AF61" s="468" t="s">
        <v>25</v>
      </c>
      <c r="AG61" s="470" t="s">
        <v>26</v>
      </c>
      <c r="AH61" s="466" t="s">
        <v>24</v>
      </c>
      <c r="AI61" s="468" t="s">
        <v>25</v>
      </c>
      <c r="AJ61" s="470" t="s">
        <v>26</v>
      </c>
      <c r="AK61" s="466" t="s">
        <v>24</v>
      </c>
      <c r="AL61" s="468" t="s">
        <v>25</v>
      </c>
      <c r="AM61" s="470" t="s">
        <v>26</v>
      </c>
      <c r="AN61" s="466" t="s">
        <v>24</v>
      </c>
      <c r="AO61" s="468" t="s">
        <v>25</v>
      </c>
      <c r="AP61" s="470" t="s">
        <v>26</v>
      </c>
      <c r="AQ61" s="466" t="s">
        <v>24</v>
      </c>
      <c r="AR61" s="468" t="s">
        <v>25</v>
      </c>
      <c r="AS61" s="470" t="s">
        <v>26</v>
      </c>
      <c r="AT61" s="555" t="s">
        <v>24</v>
      </c>
      <c r="AU61" s="472" t="s">
        <v>27</v>
      </c>
    </row>
    <row r="62" spans="1:47" ht="15" customHeight="1">
      <c r="A62" s="539"/>
      <c r="B62" s="525"/>
      <c r="C62" s="525"/>
      <c r="D62" s="525"/>
      <c r="E62" s="525"/>
      <c r="F62" s="543"/>
      <c r="G62" s="505"/>
      <c r="H62" s="495"/>
      <c r="I62" s="497"/>
      <c r="J62" s="505"/>
      <c r="K62" s="495"/>
      <c r="L62" s="497"/>
      <c r="M62" s="505"/>
      <c r="N62" s="495"/>
      <c r="O62" s="497"/>
      <c r="P62" s="505"/>
      <c r="Q62" s="495"/>
      <c r="R62" s="497"/>
      <c r="S62" s="505"/>
      <c r="T62" s="495"/>
      <c r="U62" s="497"/>
      <c r="V62" s="505"/>
      <c r="W62" s="495"/>
      <c r="X62" s="535"/>
      <c r="Y62" s="505"/>
      <c r="Z62" s="495"/>
      <c r="AA62" s="497"/>
      <c r="AB62" s="505"/>
      <c r="AC62" s="495"/>
      <c r="AD62" s="497"/>
      <c r="AE62" s="505"/>
      <c r="AF62" s="495"/>
      <c r="AG62" s="497"/>
      <c r="AH62" s="505"/>
      <c r="AI62" s="495"/>
      <c r="AJ62" s="497"/>
      <c r="AK62" s="505"/>
      <c r="AL62" s="495"/>
      <c r="AM62" s="497"/>
      <c r="AN62" s="505"/>
      <c r="AO62" s="495"/>
      <c r="AP62" s="497"/>
      <c r="AQ62" s="505"/>
      <c r="AR62" s="495"/>
      <c r="AS62" s="497"/>
      <c r="AT62" s="537"/>
      <c r="AU62" s="545"/>
    </row>
    <row r="63" spans="1:47" ht="15" customHeight="1">
      <c r="A63" s="526" t="s">
        <v>208</v>
      </c>
      <c r="B63" s="540" t="s">
        <v>275</v>
      </c>
      <c r="C63" s="528">
        <v>1582</v>
      </c>
      <c r="D63" s="530" t="s">
        <v>276</v>
      </c>
      <c r="E63" s="532" t="s">
        <v>277</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526"/>
      <c r="B64" s="540"/>
      <c r="C64" s="528"/>
      <c r="D64" s="530"/>
      <c r="E64" s="532"/>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526"/>
      <c r="B65" s="540"/>
      <c r="C65" s="528"/>
      <c r="D65" s="530"/>
      <c r="E65" s="532"/>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526"/>
      <c r="B66" s="540"/>
      <c r="C66" s="528"/>
      <c r="D66" s="530"/>
      <c r="E66" s="532"/>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526"/>
      <c r="B67" s="540"/>
      <c r="C67" s="528"/>
      <c r="D67" s="530"/>
      <c r="E67" s="532"/>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526"/>
      <c r="B68" s="540"/>
      <c r="C68" s="528"/>
      <c r="D68" s="530"/>
      <c r="E68" s="532"/>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526"/>
      <c r="B69" s="540"/>
      <c r="C69" s="528"/>
      <c r="D69" s="530"/>
      <c r="E69" s="532"/>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526"/>
      <c r="B70" s="540"/>
      <c r="C70" s="528"/>
      <c r="D70" s="530"/>
      <c r="E70" s="532"/>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526"/>
      <c r="B71" s="540"/>
      <c r="C71" s="528"/>
      <c r="D71" s="530"/>
      <c r="E71" s="532"/>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527"/>
      <c r="B72" s="541"/>
      <c r="C72" s="529"/>
      <c r="D72" s="531"/>
      <c r="E72" s="533"/>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538" t="s">
        <v>22</v>
      </c>
      <c r="B73" s="524" t="s">
        <v>18</v>
      </c>
      <c r="C73" s="524" t="s">
        <v>19</v>
      </c>
      <c r="D73" s="524" t="s">
        <v>203</v>
      </c>
      <c r="E73" s="524" t="s">
        <v>21</v>
      </c>
      <c r="F73" s="542" t="s">
        <v>23</v>
      </c>
      <c r="G73" s="504" t="s">
        <v>24</v>
      </c>
      <c r="H73" s="494" t="s">
        <v>25</v>
      </c>
      <c r="I73" s="496" t="s">
        <v>26</v>
      </c>
      <c r="J73" s="504" t="s">
        <v>24</v>
      </c>
      <c r="K73" s="494" t="s">
        <v>25</v>
      </c>
      <c r="L73" s="496" t="s">
        <v>26</v>
      </c>
      <c r="M73" s="504" t="s">
        <v>24</v>
      </c>
      <c r="N73" s="494" t="s">
        <v>25</v>
      </c>
      <c r="O73" s="496" t="s">
        <v>26</v>
      </c>
      <c r="P73" s="504" t="s">
        <v>24</v>
      </c>
      <c r="Q73" s="494" t="s">
        <v>25</v>
      </c>
      <c r="R73" s="496" t="s">
        <v>26</v>
      </c>
      <c r="S73" s="504" t="s">
        <v>24</v>
      </c>
      <c r="T73" s="494" t="s">
        <v>25</v>
      </c>
      <c r="U73" s="496" t="s">
        <v>26</v>
      </c>
      <c r="V73" s="504" t="s">
        <v>24</v>
      </c>
      <c r="W73" s="494" t="s">
        <v>25</v>
      </c>
      <c r="X73" s="534" t="s">
        <v>26</v>
      </c>
      <c r="Y73" s="504" t="s">
        <v>24</v>
      </c>
      <c r="Z73" s="494" t="s">
        <v>25</v>
      </c>
      <c r="AA73" s="496" t="s">
        <v>26</v>
      </c>
      <c r="AB73" s="504" t="s">
        <v>24</v>
      </c>
      <c r="AC73" s="494" t="s">
        <v>25</v>
      </c>
      <c r="AD73" s="496" t="s">
        <v>26</v>
      </c>
      <c r="AE73" s="504" t="s">
        <v>24</v>
      </c>
      <c r="AF73" s="494" t="s">
        <v>25</v>
      </c>
      <c r="AG73" s="496" t="s">
        <v>26</v>
      </c>
      <c r="AH73" s="504" t="s">
        <v>24</v>
      </c>
      <c r="AI73" s="494" t="s">
        <v>25</v>
      </c>
      <c r="AJ73" s="496" t="s">
        <v>26</v>
      </c>
      <c r="AK73" s="504" t="s">
        <v>24</v>
      </c>
      <c r="AL73" s="494" t="s">
        <v>25</v>
      </c>
      <c r="AM73" s="496" t="s">
        <v>26</v>
      </c>
      <c r="AN73" s="504" t="s">
        <v>24</v>
      </c>
      <c r="AO73" s="494" t="s">
        <v>25</v>
      </c>
      <c r="AP73" s="496" t="s">
        <v>26</v>
      </c>
      <c r="AQ73" s="504" t="s">
        <v>24</v>
      </c>
      <c r="AR73" s="494" t="s">
        <v>25</v>
      </c>
      <c r="AS73" s="496" t="s">
        <v>26</v>
      </c>
      <c r="AT73" s="536" t="s">
        <v>24</v>
      </c>
      <c r="AU73" s="544" t="s">
        <v>27</v>
      </c>
    </row>
    <row r="74" spans="1:47" ht="25.5" customHeight="1">
      <c r="A74" s="539"/>
      <c r="B74" s="525"/>
      <c r="C74" s="525"/>
      <c r="D74" s="525"/>
      <c r="E74" s="525"/>
      <c r="F74" s="543"/>
      <c r="G74" s="505"/>
      <c r="H74" s="495"/>
      <c r="I74" s="497"/>
      <c r="J74" s="505"/>
      <c r="K74" s="495"/>
      <c r="L74" s="497"/>
      <c r="M74" s="505"/>
      <c r="N74" s="495"/>
      <c r="O74" s="497"/>
      <c r="P74" s="505"/>
      <c r="Q74" s="495"/>
      <c r="R74" s="497"/>
      <c r="S74" s="505"/>
      <c r="T74" s="495"/>
      <c r="U74" s="497"/>
      <c r="V74" s="505"/>
      <c r="W74" s="495"/>
      <c r="X74" s="535"/>
      <c r="Y74" s="505"/>
      <c r="Z74" s="495"/>
      <c r="AA74" s="497"/>
      <c r="AB74" s="505"/>
      <c r="AC74" s="495"/>
      <c r="AD74" s="497"/>
      <c r="AE74" s="505"/>
      <c r="AF74" s="495"/>
      <c r="AG74" s="497"/>
      <c r="AH74" s="505"/>
      <c r="AI74" s="495"/>
      <c r="AJ74" s="497"/>
      <c r="AK74" s="505"/>
      <c r="AL74" s="495"/>
      <c r="AM74" s="497"/>
      <c r="AN74" s="505"/>
      <c r="AO74" s="495"/>
      <c r="AP74" s="497"/>
      <c r="AQ74" s="505"/>
      <c r="AR74" s="495"/>
      <c r="AS74" s="497"/>
      <c r="AT74" s="537"/>
      <c r="AU74" s="545"/>
    </row>
    <row r="75" spans="1:47">
      <c r="A75" s="526" t="s">
        <v>208</v>
      </c>
      <c r="B75" s="540" t="s">
        <v>278</v>
      </c>
      <c r="C75" s="528">
        <v>1583</v>
      </c>
      <c r="D75" s="530" t="s">
        <v>279</v>
      </c>
      <c r="E75" s="532" t="s">
        <v>280</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526"/>
      <c r="B76" s="540"/>
      <c r="C76" s="528"/>
      <c r="D76" s="530"/>
      <c r="E76" s="532"/>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526"/>
      <c r="B77" s="540"/>
      <c r="C77" s="528"/>
      <c r="D77" s="530"/>
      <c r="E77" s="532"/>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526"/>
      <c r="B78" s="540"/>
      <c r="C78" s="528"/>
      <c r="D78" s="530"/>
      <c r="E78" s="532"/>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526"/>
      <c r="B79" s="540"/>
      <c r="C79" s="528"/>
      <c r="D79" s="530"/>
      <c r="E79" s="532"/>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526"/>
      <c r="B80" s="540"/>
      <c r="C80" s="528"/>
      <c r="D80" s="530"/>
      <c r="E80" s="532"/>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526"/>
      <c r="B81" s="540"/>
      <c r="C81" s="528"/>
      <c r="D81" s="530"/>
      <c r="E81" s="532"/>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526"/>
      <c r="B82" s="540"/>
      <c r="C82" s="528"/>
      <c r="D82" s="530"/>
      <c r="E82" s="532"/>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527"/>
      <c r="B83" s="541"/>
      <c r="C83" s="529"/>
      <c r="D83" s="531"/>
      <c r="E83" s="533"/>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538" t="s">
        <v>22</v>
      </c>
      <c r="B84" s="524" t="s">
        <v>18</v>
      </c>
      <c r="C84" s="524" t="s">
        <v>19</v>
      </c>
      <c r="D84" s="524" t="s">
        <v>203</v>
      </c>
      <c r="E84" s="524" t="s">
        <v>21</v>
      </c>
      <c r="F84" s="542" t="s">
        <v>23</v>
      </c>
      <c r="G84" s="504" t="s">
        <v>24</v>
      </c>
      <c r="H84" s="494" t="s">
        <v>25</v>
      </c>
      <c r="I84" s="496" t="s">
        <v>26</v>
      </c>
      <c r="J84" s="504" t="s">
        <v>24</v>
      </c>
      <c r="K84" s="494" t="s">
        <v>25</v>
      </c>
      <c r="L84" s="496" t="s">
        <v>26</v>
      </c>
      <c r="M84" s="504" t="s">
        <v>24</v>
      </c>
      <c r="N84" s="494" t="s">
        <v>25</v>
      </c>
      <c r="O84" s="496" t="s">
        <v>26</v>
      </c>
      <c r="P84" s="504" t="s">
        <v>24</v>
      </c>
      <c r="Q84" s="494" t="s">
        <v>25</v>
      </c>
      <c r="R84" s="496" t="s">
        <v>26</v>
      </c>
      <c r="S84" s="504" t="s">
        <v>24</v>
      </c>
      <c r="T84" s="494" t="s">
        <v>25</v>
      </c>
      <c r="U84" s="496" t="s">
        <v>26</v>
      </c>
      <c r="V84" s="504" t="s">
        <v>24</v>
      </c>
      <c r="W84" s="494" t="s">
        <v>25</v>
      </c>
      <c r="X84" s="534" t="s">
        <v>26</v>
      </c>
      <c r="Y84" s="504" t="s">
        <v>24</v>
      </c>
      <c r="Z84" s="494" t="s">
        <v>25</v>
      </c>
      <c r="AA84" s="496" t="s">
        <v>26</v>
      </c>
      <c r="AB84" s="504" t="s">
        <v>24</v>
      </c>
      <c r="AC84" s="494" t="s">
        <v>25</v>
      </c>
      <c r="AD84" s="496" t="s">
        <v>26</v>
      </c>
      <c r="AE84" s="504" t="s">
        <v>24</v>
      </c>
      <c r="AF84" s="494" t="s">
        <v>25</v>
      </c>
      <c r="AG84" s="496" t="s">
        <v>26</v>
      </c>
      <c r="AH84" s="504" t="s">
        <v>24</v>
      </c>
      <c r="AI84" s="494" t="s">
        <v>25</v>
      </c>
      <c r="AJ84" s="496" t="s">
        <v>26</v>
      </c>
      <c r="AK84" s="504" t="s">
        <v>24</v>
      </c>
      <c r="AL84" s="494" t="s">
        <v>25</v>
      </c>
      <c r="AM84" s="496" t="s">
        <v>26</v>
      </c>
      <c r="AN84" s="504" t="s">
        <v>24</v>
      </c>
      <c r="AO84" s="494" t="s">
        <v>25</v>
      </c>
      <c r="AP84" s="496" t="s">
        <v>26</v>
      </c>
      <c r="AQ84" s="504" t="s">
        <v>24</v>
      </c>
      <c r="AR84" s="494" t="s">
        <v>25</v>
      </c>
      <c r="AS84" s="496" t="s">
        <v>26</v>
      </c>
      <c r="AT84" s="536" t="s">
        <v>24</v>
      </c>
      <c r="AU84" s="544" t="s">
        <v>27</v>
      </c>
    </row>
    <row r="85" spans="1:47" ht="15" customHeight="1">
      <c r="A85" s="539"/>
      <c r="B85" s="525"/>
      <c r="C85" s="525"/>
      <c r="D85" s="525"/>
      <c r="E85" s="525"/>
      <c r="F85" s="543"/>
      <c r="G85" s="505"/>
      <c r="H85" s="495"/>
      <c r="I85" s="497"/>
      <c r="J85" s="505"/>
      <c r="K85" s="495"/>
      <c r="L85" s="497"/>
      <c r="M85" s="505"/>
      <c r="N85" s="495"/>
      <c r="O85" s="497"/>
      <c r="P85" s="505"/>
      <c r="Q85" s="495"/>
      <c r="R85" s="497"/>
      <c r="S85" s="505"/>
      <c r="T85" s="495"/>
      <c r="U85" s="497"/>
      <c r="V85" s="505"/>
      <c r="W85" s="495"/>
      <c r="X85" s="535"/>
      <c r="Y85" s="505"/>
      <c r="Z85" s="495"/>
      <c r="AA85" s="497"/>
      <c r="AB85" s="505"/>
      <c r="AC85" s="495"/>
      <c r="AD85" s="497"/>
      <c r="AE85" s="505"/>
      <c r="AF85" s="495"/>
      <c r="AG85" s="497"/>
      <c r="AH85" s="505"/>
      <c r="AI85" s="495"/>
      <c r="AJ85" s="497"/>
      <c r="AK85" s="505"/>
      <c r="AL85" s="495"/>
      <c r="AM85" s="497"/>
      <c r="AN85" s="505"/>
      <c r="AO85" s="495"/>
      <c r="AP85" s="497"/>
      <c r="AQ85" s="505"/>
      <c r="AR85" s="495"/>
      <c r="AS85" s="497"/>
      <c r="AT85" s="537"/>
      <c r="AU85" s="545"/>
    </row>
    <row r="86" spans="1:47" ht="15" customHeight="1">
      <c r="A86" s="526" t="s">
        <v>80</v>
      </c>
      <c r="B86" s="540" t="s">
        <v>281</v>
      </c>
      <c r="C86" s="528">
        <v>162</v>
      </c>
      <c r="D86" s="530" t="s">
        <v>282</v>
      </c>
      <c r="E86" s="532" t="s">
        <v>283</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526"/>
      <c r="B87" s="540"/>
      <c r="C87" s="528"/>
      <c r="D87" s="530"/>
      <c r="E87" s="532"/>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14075296</v>
      </c>
    </row>
    <row r="88" spans="1:47">
      <c r="A88" s="526"/>
      <c r="B88" s="540"/>
      <c r="C88" s="528"/>
      <c r="D88" s="530"/>
      <c r="E88" s="532"/>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526"/>
      <c r="B89" s="540"/>
      <c r="C89" s="528"/>
      <c r="D89" s="530"/>
      <c r="E89" s="532"/>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4107346</v>
      </c>
    </row>
    <row r="90" spans="1:47">
      <c r="A90" s="526"/>
      <c r="B90" s="540"/>
      <c r="C90" s="528"/>
      <c r="D90" s="530"/>
      <c r="E90" s="532"/>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526"/>
      <c r="B91" s="540"/>
      <c r="C91" s="528"/>
      <c r="D91" s="530"/>
      <c r="E91" s="532"/>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526"/>
      <c r="B92" s="540"/>
      <c r="C92" s="528"/>
      <c r="D92" s="530"/>
      <c r="E92" s="532"/>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1016470</v>
      </c>
      <c r="AL92" s="75">
        <f t="shared" si="111"/>
        <v>1016470</v>
      </c>
      <c r="AM92" s="104"/>
      <c r="AN92" s="168">
        <v>1036800</v>
      </c>
      <c r="AO92" s="169">
        <f t="shared" si="112"/>
        <v>1036800</v>
      </c>
      <c r="AP92" s="170"/>
      <c r="AQ92" s="168">
        <v>1057536</v>
      </c>
      <c r="AR92" s="169">
        <f t="shared" si="113"/>
        <v>1057536</v>
      </c>
      <c r="AS92" s="170"/>
      <c r="AT92" s="98"/>
      <c r="AU92" s="79" t="s">
        <v>42</v>
      </c>
    </row>
    <row r="93" spans="1:47">
      <c r="A93" s="526"/>
      <c r="B93" s="540"/>
      <c r="C93" s="528"/>
      <c r="D93" s="530"/>
      <c r="E93" s="532"/>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0.70818759335505266</v>
      </c>
    </row>
    <row r="94" spans="1:47">
      <c r="A94" s="527"/>
      <c r="B94" s="541"/>
      <c r="C94" s="529"/>
      <c r="D94" s="531"/>
      <c r="E94" s="533"/>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538" t="s">
        <v>22</v>
      </c>
      <c r="B95" s="524" t="s">
        <v>18</v>
      </c>
      <c r="C95" s="524" t="s">
        <v>19</v>
      </c>
      <c r="D95" s="524" t="s">
        <v>203</v>
      </c>
      <c r="E95" s="524" t="s">
        <v>21</v>
      </c>
      <c r="F95" s="542" t="s">
        <v>23</v>
      </c>
      <c r="G95" s="504" t="s">
        <v>24</v>
      </c>
      <c r="H95" s="494" t="s">
        <v>25</v>
      </c>
      <c r="I95" s="496" t="s">
        <v>26</v>
      </c>
      <c r="J95" s="504" t="s">
        <v>24</v>
      </c>
      <c r="K95" s="494" t="s">
        <v>25</v>
      </c>
      <c r="L95" s="496" t="s">
        <v>26</v>
      </c>
      <c r="M95" s="504" t="s">
        <v>24</v>
      </c>
      <c r="N95" s="494" t="s">
        <v>25</v>
      </c>
      <c r="O95" s="496" t="s">
        <v>26</v>
      </c>
      <c r="P95" s="504" t="s">
        <v>24</v>
      </c>
      <c r="Q95" s="494" t="s">
        <v>25</v>
      </c>
      <c r="R95" s="496" t="s">
        <v>26</v>
      </c>
      <c r="S95" s="504" t="s">
        <v>24</v>
      </c>
      <c r="T95" s="494" t="s">
        <v>25</v>
      </c>
      <c r="U95" s="496" t="s">
        <v>26</v>
      </c>
      <c r="V95" s="504" t="s">
        <v>24</v>
      </c>
      <c r="W95" s="494" t="s">
        <v>25</v>
      </c>
      <c r="X95" s="534" t="s">
        <v>26</v>
      </c>
      <c r="Y95" s="504" t="s">
        <v>24</v>
      </c>
      <c r="Z95" s="494" t="s">
        <v>25</v>
      </c>
      <c r="AA95" s="496" t="s">
        <v>26</v>
      </c>
      <c r="AB95" s="504" t="s">
        <v>24</v>
      </c>
      <c r="AC95" s="494" t="s">
        <v>25</v>
      </c>
      <c r="AD95" s="496" t="s">
        <v>26</v>
      </c>
      <c r="AE95" s="504" t="s">
        <v>24</v>
      </c>
      <c r="AF95" s="494" t="s">
        <v>25</v>
      </c>
      <c r="AG95" s="496" t="s">
        <v>26</v>
      </c>
      <c r="AH95" s="504" t="s">
        <v>24</v>
      </c>
      <c r="AI95" s="494" t="s">
        <v>25</v>
      </c>
      <c r="AJ95" s="496" t="s">
        <v>26</v>
      </c>
      <c r="AK95" s="504" t="s">
        <v>24</v>
      </c>
      <c r="AL95" s="494" t="s">
        <v>25</v>
      </c>
      <c r="AM95" s="496" t="s">
        <v>26</v>
      </c>
      <c r="AN95" s="504" t="s">
        <v>24</v>
      </c>
      <c r="AO95" s="494" t="s">
        <v>25</v>
      </c>
      <c r="AP95" s="496" t="s">
        <v>26</v>
      </c>
      <c r="AQ95" s="504" t="s">
        <v>24</v>
      </c>
      <c r="AR95" s="494" t="s">
        <v>25</v>
      </c>
      <c r="AS95" s="496" t="s">
        <v>26</v>
      </c>
      <c r="AT95" s="536" t="s">
        <v>24</v>
      </c>
      <c r="AU95" s="544" t="s">
        <v>27</v>
      </c>
    </row>
    <row r="96" spans="1:47" ht="15" customHeight="1">
      <c r="A96" s="539"/>
      <c r="B96" s="525"/>
      <c r="C96" s="525"/>
      <c r="D96" s="525"/>
      <c r="E96" s="525"/>
      <c r="F96" s="543"/>
      <c r="G96" s="505"/>
      <c r="H96" s="495"/>
      <c r="I96" s="497"/>
      <c r="J96" s="505"/>
      <c r="K96" s="495"/>
      <c r="L96" s="497"/>
      <c r="M96" s="505"/>
      <c r="N96" s="495"/>
      <c r="O96" s="497"/>
      <c r="P96" s="505"/>
      <c r="Q96" s="495"/>
      <c r="R96" s="497"/>
      <c r="S96" s="505"/>
      <c r="T96" s="495"/>
      <c r="U96" s="497"/>
      <c r="V96" s="505"/>
      <c r="W96" s="495"/>
      <c r="X96" s="535"/>
      <c r="Y96" s="505"/>
      <c r="Z96" s="495"/>
      <c r="AA96" s="497"/>
      <c r="AB96" s="505"/>
      <c r="AC96" s="495"/>
      <c r="AD96" s="497"/>
      <c r="AE96" s="505"/>
      <c r="AF96" s="495"/>
      <c r="AG96" s="497"/>
      <c r="AH96" s="505"/>
      <c r="AI96" s="495"/>
      <c r="AJ96" s="497"/>
      <c r="AK96" s="505"/>
      <c r="AL96" s="495"/>
      <c r="AM96" s="497"/>
      <c r="AN96" s="505"/>
      <c r="AO96" s="495"/>
      <c r="AP96" s="497"/>
      <c r="AQ96" s="505"/>
      <c r="AR96" s="495"/>
      <c r="AS96" s="497"/>
      <c r="AT96" s="537"/>
      <c r="AU96" s="545"/>
    </row>
    <row r="97" spans="1:47" ht="15" customHeight="1">
      <c r="A97" s="526" t="s">
        <v>245</v>
      </c>
      <c r="B97" s="540" t="s">
        <v>284</v>
      </c>
      <c r="C97" s="528">
        <v>188</v>
      </c>
      <c r="D97" s="530" t="s">
        <v>285</v>
      </c>
      <c r="E97" s="532" t="s">
        <v>286</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526"/>
      <c r="B98" s="540"/>
      <c r="C98" s="528"/>
      <c r="D98" s="530"/>
      <c r="E98" s="532"/>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16324000</v>
      </c>
    </row>
    <row r="99" spans="1:47">
      <c r="A99" s="526"/>
      <c r="B99" s="540"/>
      <c r="C99" s="528"/>
      <c r="D99" s="530"/>
      <c r="E99" s="532"/>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v>256000</v>
      </c>
      <c r="AI99" s="75">
        <f t="shared" si="123"/>
        <v>256000</v>
      </c>
      <c r="AJ99" s="104"/>
      <c r="AK99" s="103"/>
      <c r="AL99" s="75">
        <f t="shared" si="124"/>
        <v>0</v>
      </c>
      <c r="AM99" s="104"/>
      <c r="AN99" s="103"/>
      <c r="AO99" s="75">
        <f t="shared" si="125"/>
        <v>0</v>
      </c>
      <c r="AP99" s="104"/>
      <c r="AQ99" s="103"/>
      <c r="AR99" s="75">
        <f t="shared" si="126"/>
        <v>0</v>
      </c>
      <c r="AS99" s="104"/>
      <c r="AT99" s="98"/>
      <c r="AU99" s="79" t="s">
        <v>35</v>
      </c>
    </row>
    <row r="100" spans="1:47">
      <c r="A100" s="526"/>
      <c r="B100" s="540"/>
      <c r="C100" s="528"/>
      <c r="D100" s="530"/>
      <c r="E100" s="532"/>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14424000</v>
      </c>
    </row>
    <row r="101" spans="1:47">
      <c r="A101" s="526"/>
      <c r="B101" s="540"/>
      <c r="C101" s="528"/>
      <c r="D101" s="530"/>
      <c r="E101" s="532"/>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526"/>
      <c r="B102" s="540"/>
      <c r="C102" s="528"/>
      <c r="D102" s="530"/>
      <c r="E102" s="532"/>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526"/>
      <c r="B103" s="540"/>
      <c r="C103" s="528"/>
      <c r="D103" s="530"/>
      <c r="E103" s="532"/>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526"/>
      <c r="B104" s="540"/>
      <c r="C104" s="528"/>
      <c r="D104" s="530"/>
      <c r="E104" s="532"/>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0.11639304092134281</v>
      </c>
    </row>
    <row r="105" spans="1:47" ht="15.75" customHeight="1">
      <c r="A105" s="527"/>
      <c r="B105" s="541"/>
      <c r="C105" s="529"/>
      <c r="D105" s="531"/>
      <c r="E105" s="533"/>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489" t="s">
        <v>22</v>
      </c>
      <c r="B106" s="491" t="s">
        <v>18</v>
      </c>
      <c r="C106" s="491" t="s">
        <v>19</v>
      </c>
      <c r="D106" s="491" t="s">
        <v>203</v>
      </c>
      <c r="E106" s="491" t="s">
        <v>21</v>
      </c>
      <c r="F106" s="550" t="s">
        <v>23</v>
      </c>
      <c r="G106" s="466" t="s">
        <v>24</v>
      </c>
      <c r="H106" s="468" t="s">
        <v>25</v>
      </c>
      <c r="I106" s="470" t="s">
        <v>26</v>
      </c>
      <c r="J106" s="466" t="s">
        <v>24</v>
      </c>
      <c r="K106" s="468" t="s">
        <v>25</v>
      </c>
      <c r="L106" s="470" t="s">
        <v>26</v>
      </c>
      <c r="M106" s="466" t="s">
        <v>24</v>
      </c>
      <c r="N106" s="468" t="s">
        <v>25</v>
      </c>
      <c r="O106" s="470" t="s">
        <v>26</v>
      </c>
      <c r="P106" s="466" t="s">
        <v>24</v>
      </c>
      <c r="Q106" s="468" t="s">
        <v>25</v>
      </c>
      <c r="R106" s="470" t="s">
        <v>26</v>
      </c>
      <c r="S106" s="466" t="s">
        <v>24</v>
      </c>
      <c r="T106" s="468" t="s">
        <v>25</v>
      </c>
      <c r="U106" s="470" t="s">
        <v>26</v>
      </c>
      <c r="V106" s="466" t="s">
        <v>24</v>
      </c>
      <c r="W106" s="468" t="s">
        <v>25</v>
      </c>
      <c r="X106" s="551" t="s">
        <v>26</v>
      </c>
      <c r="Y106" s="466" t="s">
        <v>24</v>
      </c>
      <c r="Z106" s="468" t="s">
        <v>25</v>
      </c>
      <c r="AA106" s="470" t="s">
        <v>26</v>
      </c>
      <c r="AB106" s="466" t="s">
        <v>24</v>
      </c>
      <c r="AC106" s="468" t="s">
        <v>25</v>
      </c>
      <c r="AD106" s="470" t="s">
        <v>26</v>
      </c>
      <c r="AE106" s="466" t="s">
        <v>24</v>
      </c>
      <c r="AF106" s="468" t="s">
        <v>25</v>
      </c>
      <c r="AG106" s="470" t="s">
        <v>26</v>
      </c>
      <c r="AH106" s="466" t="s">
        <v>24</v>
      </c>
      <c r="AI106" s="468" t="s">
        <v>25</v>
      </c>
      <c r="AJ106" s="470" t="s">
        <v>26</v>
      </c>
      <c r="AK106" s="466" t="s">
        <v>24</v>
      </c>
      <c r="AL106" s="468" t="s">
        <v>25</v>
      </c>
      <c r="AM106" s="470" t="s">
        <v>26</v>
      </c>
      <c r="AN106" s="466" t="s">
        <v>24</v>
      </c>
      <c r="AO106" s="468" t="s">
        <v>25</v>
      </c>
      <c r="AP106" s="470" t="s">
        <v>26</v>
      </c>
      <c r="AQ106" s="466" t="s">
        <v>24</v>
      </c>
      <c r="AR106" s="468" t="s">
        <v>25</v>
      </c>
      <c r="AS106" s="470" t="s">
        <v>26</v>
      </c>
      <c r="AT106" s="555" t="s">
        <v>24</v>
      </c>
      <c r="AU106" s="472" t="s">
        <v>27</v>
      </c>
    </row>
    <row r="107" spans="1:47" ht="15" customHeight="1">
      <c r="A107" s="539"/>
      <c r="B107" s="525"/>
      <c r="C107" s="525"/>
      <c r="D107" s="525"/>
      <c r="E107" s="525"/>
      <c r="F107" s="543"/>
      <c r="G107" s="505"/>
      <c r="H107" s="495"/>
      <c r="I107" s="497"/>
      <c r="J107" s="505"/>
      <c r="K107" s="495"/>
      <c r="L107" s="497"/>
      <c r="M107" s="505"/>
      <c r="N107" s="495"/>
      <c r="O107" s="497"/>
      <c r="P107" s="505"/>
      <c r="Q107" s="495"/>
      <c r="R107" s="497"/>
      <c r="S107" s="505"/>
      <c r="T107" s="495"/>
      <c r="U107" s="497"/>
      <c r="V107" s="505"/>
      <c r="W107" s="495"/>
      <c r="X107" s="535"/>
      <c r="Y107" s="505"/>
      <c r="Z107" s="495"/>
      <c r="AA107" s="497"/>
      <c r="AB107" s="505"/>
      <c r="AC107" s="495"/>
      <c r="AD107" s="497"/>
      <c r="AE107" s="505"/>
      <c r="AF107" s="495"/>
      <c r="AG107" s="497"/>
      <c r="AH107" s="505"/>
      <c r="AI107" s="495"/>
      <c r="AJ107" s="497"/>
      <c r="AK107" s="505"/>
      <c r="AL107" s="495"/>
      <c r="AM107" s="497"/>
      <c r="AN107" s="505"/>
      <c r="AO107" s="495"/>
      <c r="AP107" s="497"/>
      <c r="AQ107" s="505"/>
      <c r="AR107" s="495"/>
      <c r="AS107" s="497"/>
      <c r="AT107" s="537"/>
      <c r="AU107" s="545"/>
    </row>
    <row r="108" spans="1:47" ht="15" customHeight="1">
      <c r="A108" s="526" t="s">
        <v>245</v>
      </c>
      <c r="B108" s="540" t="s">
        <v>287</v>
      </c>
      <c r="C108" s="528">
        <v>1508</v>
      </c>
      <c r="D108" s="530" t="s">
        <v>288</v>
      </c>
      <c r="E108" s="532" t="s">
        <v>289</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526"/>
      <c r="B109" s="540"/>
      <c r="C109" s="528"/>
      <c r="D109" s="530"/>
      <c r="E109" s="532"/>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526"/>
      <c r="B110" s="540"/>
      <c r="C110" s="528"/>
      <c r="D110" s="530"/>
      <c r="E110" s="532"/>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526"/>
      <c r="B111" s="540"/>
      <c r="C111" s="528"/>
      <c r="D111" s="530"/>
      <c r="E111" s="532"/>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526"/>
      <c r="B112" s="540"/>
      <c r="C112" s="528"/>
      <c r="D112" s="530"/>
      <c r="E112" s="532"/>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526"/>
      <c r="B113" s="540"/>
      <c r="C113" s="528"/>
      <c r="D113" s="530"/>
      <c r="E113" s="532"/>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526"/>
      <c r="B114" s="540"/>
      <c r="C114" s="528"/>
      <c r="D114" s="530"/>
      <c r="E114" s="532"/>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526"/>
      <c r="B115" s="540"/>
      <c r="C115" s="528"/>
      <c r="D115" s="530"/>
      <c r="E115" s="532"/>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526"/>
      <c r="B116" s="540"/>
      <c r="C116" s="528"/>
      <c r="D116" s="530"/>
      <c r="E116" s="532"/>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538" t="s">
        <v>22</v>
      </c>
      <c r="B117" s="524" t="s">
        <v>18</v>
      </c>
      <c r="C117" s="524" t="s">
        <v>19</v>
      </c>
      <c r="D117" s="524" t="s">
        <v>203</v>
      </c>
      <c r="E117" s="524" t="s">
        <v>21</v>
      </c>
      <c r="F117" s="542" t="s">
        <v>23</v>
      </c>
      <c r="G117" s="504" t="s">
        <v>24</v>
      </c>
      <c r="H117" s="494" t="s">
        <v>25</v>
      </c>
      <c r="I117" s="496" t="s">
        <v>26</v>
      </c>
      <c r="J117" s="504" t="s">
        <v>24</v>
      </c>
      <c r="K117" s="494" t="s">
        <v>25</v>
      </c>
      <c r="L117" s="496" t="s">
        <v>26</v>
      </c>
      <c r="M117" s="504" t="s">
        <v>24</v>
      </c>
      <c r="N117" s="494" t="s">
        <v>25</v>
      </c>
      <c r="O117" s="496" t="s">
        <v>26</v>
      </c>
      <c r="P117" s="504" t="s">
        <v>24</v>
      </c>
      <c r="Q117" s="494" t="s">
        <v>25</v>
      </c>
      <c r="R117" s="496" t="s">
        <v>26</v>
      </c>
      <c r="S117" s="504" t="s">
        <v>24</v>
      </c>
      <c r="T117" s="494" t="s">
        <v>25</v>
      </c>
      <c r="U117" s="496" t="s">
        <v>26</v>
      </c>
      <c r="V117" s="504" t="s">
        <v>24</v>
      </c>
      <c r="W117" s="494" t="s">
        <v>25</v>
      </c>
      <c r="X117" s="534" t="s">
        <v>26</v>
      </c>
      <c r="Y117" s="504" t="s">
        <v>24</v>
      </c>
      <c r="Z117" s="494" t="s">
        <v>25</v>
      </c>
      <c r="AA117" s="496" t="s">
        <v>26</v>
      </c>
      <c r="AB117" s="504" t="s">
        <v>24</v>
      </c>
      <c r="AC117" s="494" t="s">
        <v>25</v>
      </c>
      <c r="AD117" s="496" t="s">
        <v>26</v>
      </c>
      <c r="AE117" s="504" t="s">
        <v>24</v>
      </c>
      <c r="AF117" s="494" t="s">
        <v>25</v>
      </c>
      <c r="AG117" s="496" t="s">
        <v>26</v>
      </c>
      <c r="AH117" s="504" t="s">
        <v>24</v>
      </c>
      <c r="AI117" s="494" t="s">
        <v>25</v>
      </c>
      <c r="AJ117" s="496" t="s">
        <v>26</v>
      </c>
      <c r="AK117" s="504" t="s">
        <v>24</v>
      </c>
      <c r="AL117" s="494" t="s">
        <v>25</v>
      </c>
      <c r="AM117" s="496" t="s">
        <v>26</v>
      </c>
      <c r="AN117" s="504" t="s">
        <v>24</v>
      </c>
      <c r="AO117" s="494" t="s">
        <v>25</v>
      </c>
      <c r="AP117" s="496" t="s">
        <v>26</v>
      </c>
      <c r="AQ117" s="504" t="s">
        <v>24</v>
      </c>
      <c r="AR117" s="494" t="s">
        <v>25</v>
      </c>
      <c r="AS117" s="496" t="s">
        <v>26</v>
      </c>
      <c r="AT117" s="536" t="s">
        <v>24</v>
      </c>
      <c r="AU117" s="544" t="s">
        <v>27</v>
      </c>
    </row>
    <row r="118" spans="1:47" ht="15" customHeight="1">
      <c r="A118" s="539"/>
      <c r="B118" s="525"/>
      <c r="C118" s="525"/>
      <c r="D118" s="525"/>
      <c r="E118" s="525"/>
      <c r="F118" s="543"/>
      <c r="G118" s="505"/>
      <c r="H118" s="495"/>
      <c r="I118" s="497"/>
      <c r="J118" s="505"/>
      <c r="K118" s="495"/>
      <c r="L118" s="497"/>
      <c r="M118" s="505"/>
      <c r="N118" s="495"/>
      <c r="O118" s="497"/>
      <c r="P118" s="505"/>
      <c r="Q118" s="495"/>
      <c r="R118" s="497"/>
      <c r="S118" s="505"/>
      <c r="T118" s="495"/>
      <c r="U118" s="497"/>
      <c r="V118" s="505"/>
      <c r="W118" s="495"/>
      <c r="X118" s="535"/>
      <c r="Y118" s="505"/>
      <c r="Z118" s="495"/>
      <c r="AA118" s="497"/>
      <c r="AB118" s="505"/>
      <c r="AC118" s="495"/>
      <c r="AD118" s="497"/>
      <c r="AE118" s="505"/>
      <c r="AF118" s="495"/>
      <c r="AG118" s="497"/>
      <c r="AH118" s="505"/>
      <c r="AI118" s="495"/>
      <c r="AJ118" s="497"/>
      <c r="AK118" s="505"/>
      <c r="AL118" s="495"/>
      <c r="AM118" s="497"/>
      <c r="AN118" s="505"/>
      <c r="AO118" s="495"/>
      <c r="AP118" s="497"/>
      <c r="AQ118" s="505"/>
      <c r="AR118" s="495"/>
      <c r="AS118" s="497"/>
      <c r="AT118" s="537"/>
      <c r="AU118" s="545"/>
    </row>
    <row r="119" spans="1:47" ht="15" customHeight="1">
      <c r="A119" s="526" t="s">
        <v>245</v>
      </c>
      <c r="B119" s="540" t="s">
        <v>290</v>
      </c>
      <c r="C119" s="563">
        <v>2508</v>
      </c>
      <c r="D119" s="530" t="s">
        <v>291</v>
      </c>
      <c r="E119" s="532" t="s">
        <v>292</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526"/>
      <c r="B120" s="540"/>
      <c r="C120" s="563"/>
      <c r="D120" s="530"/>
      <c r="E120" s="532"/>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526"/>
      <c r="B121" s="540"/>
      <c r="C121" s="563"/>
      <c r="D121" s="530"/>
      <c r="E121" s="532"/>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526"/>
      <c r="B122" s="540"/>
      <c r="C122" s="563"/>
      <c r="D122" s="530"/>
      <c r="E122" s="532"/>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526"/>
      <c r="B123" s="540"/>
      <c r="C123" s="563"/>
      <c r="D123" s="530"/>
      <c r="E123" s="532"/>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526"/>
      <c r="B124" s="540"/>
      <c r="C124" s="563"/>
      <c r="D124" s="530"/>
      <c r="E124" s="532"/>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526"/>
      <c r="B125" s="540"/>
      <c r="C125" s="563"/>
      <c r="D125" s="530"/>
      <c r="E125" s="532"/>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526"/>
      <c r="B126" s="540"/>
      <c r="C126" s="563"/>
      <c r="D126" s="530"/>
      <c r="E126" s="532"/>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527"/>
      <c r="B127" s="541"/>
      <c r="C127" s="564"/>
      <c r="D127" s="531"/>
      <c r="E127" s="533"/>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538" t="s">
        <v>22</v>
      </c>
      <c r="B128" s="524" t="s">
        <v>18</v>
      </c>
      <c r="C128" s="524" t="s">
        <v>19</v>
      </c>
      <c r="D128" s="524" t="s">
        <v>203</v>
      </c>
      <c r="E128" s="524" t="s">
        <v>21</v>
      </c>
      <c r="F128" s="542" t="s">
        <v>23</v>
      </c>
      <c r="G128" s="504" t="s">
        <v>24</v>
      </c>
      <c r="H128" s="494" t="s">
        <v>25</v>
      </c>
      <c r="I128" s="496" t="s">
        <v>26</v>
      </c>
      <c r="J128" s="504" t="s">
        <v>24</v>
      </c>
      <c r="K128" s="494" t="s">
        <v>25</v>
      </c>
      <c r="L128" s="496" t="s">
        <v>26</v>
      </c>
      <c r="M128" s="504" t="s">
        <v>24</v>
      </c>
      <c r="N128" s="494" t="s">
        <v>25</v>
      </c>
      <c r="O128" s="496" t="s">
        <v>26</v>
      </c>
      <c r="P128" s="504" t="s">
        <v>24</v>
      </c>
      <c r="Q128" s="494" t="s">
        <v>25</v>
      </c>
      <c r="R128" s="496" t="s">
        <v>26</v>
      </c>
      <c r="S128" s="504" t="s">
        <v>24</v>
      </c>
      <c r="T128" s="494" t="s">
        <v>25</v>
      </c>
      <c r="U128" s="496" t="s">
        <v>26</v>
      </c>
      <c r="V128" s="504" t="s">
        <v>24</v>
      </c>
      <c r="W128" s="494" t="s">
        <v>25</v>
      </c>
      <c r="X128" s="534" t="s">
        <v>26</v>
      </c>
      <c r="Y128" s="504" t="s">
        <v>24</v>
      </c>
      <c r="Z128" s="494" t="s">
        <v>25</v>
      </c>
      <c r="AA128" s="496" t="s">
        <v>26</v>
      </c>
      <c r="AB128" s="504" t="s">
        <v>24</v>
      </c>
      <c r="AC128" s="494" t="s">
        <v>25</v>
      </c>
      <c r="AD128" s="496" t="s">
        <v>26</v>
      </c>
      <c r="AE128" s="504" t="s">
        <v>24</v>
      </c>
      <c r="AF128" s="494" t="s">
        <v>25</v>
      </c>
      <c r="AG128" s="496" t="s">
        <v>26</v>
      </c>
      <c r="AH128" s="504" t="s">
        <v>24</v>
      </c>
      <c r="AI128" s="494" t="s">
        <v>25</v>
      </c>
      <c r="AJ128" s="496" t="s">
        <v>26</v>
      </c>
      <c r="AK128" s="504" t="s">
        <v>24</v>
      </c>
      <c r="AL128" s="494" t="s">
        <v>25</v>
      </c>
      <c r="AM128" s="496" t="s">
        <v>26</v>
      </c>
      <c r="AN128" s="504" t="s">
        <v>24</v>
      </c>
      <c r="AO128" s="494" t="s">
        <v>25</v>
      </c>
      <c r="AP128" s="496" t="s">
        <v>26</v>
      </c>
      <c r="AQ128" s="504" t="s">
        <v>24</v>
      </c>
      <c r="AR128" s="494" t="s">
        <v>25</v>
      </c>
      <c r="AS128" s="496" t="s">
        <v>26</v>
      </c>
      <c r="AT128" s="536" t="s">
        <v>24</v>
      </c>
      <c r="AU128" s="544" t="s">
        <v>27</v>
      </c>
    </row>
    <row r="129" spans="1:47" ht="15" customHeight="1">
      <c r="A129" s="539"/>
      <c r="B129" s="525"/>
      <c r="C129" s="525"/>
      <c r="D129" s="525"/>
      <c r="E129" s="525"/>
      <c r="F129" s="543"/>
      <c r="G129" s="505"/>
      <c r="H129" s="495"/>
      <c r="I129" s="497"/>
      <c r="J129" s="505"/>
      <c r="K129" s="495"/>
      <c r="L129" s="497"/>
      <c r="M129" s="505"/>
      <c r="N129" s="495"/>
      <c r="O129" s="497"/>
      <c r="P129" s="505"/>
      <c r="Q129" s="495"/>
      <c r="R129" s="497"/>
      <c r="S129" s="505"/>
      <c r="T129" s="495"/>
      <c r="U129" s="497"/>
      <c r="V129" s="505"/>
      <c r="W129" s="495"/>
      <c r="X129" s="535"/>
      <c r="Y129" s="505"/>
      <c r="Z129" s="495"/>
      <c r="AA129" s="497"/>
      <c r="AB129" s="505"/>
      <c r="AC129" s="495"/>
      <c r="AD129" s="497"/>
      <c r="AE129" s="505"/>
      <c r="AF129" s="495"/>
      <c r="AG129" s="497"/>
      <c r="AH129" s="505"/>
      <c r="AI129" s="495"/>
      <c r="AJ129" s="497"/>
      <c r="AK129" s="505"/>
      <c r="AL129" s="495"/>
      <c r="AM129" s="497"/>
      <c r="AN129" s="505"/>
      <c r="AO129" s="495"/>
      <c r="AP129" s="497"/>
      <c r="AQ129" s="505"/>
      <c r="AR129" s="495"/>
      <c r="AS129" s="497"/>
      <c r="AT129" s="537"/>
      <c r="AU129" s="545"/>
    </row>
    <row r="130" spans="1:47" ht="15" customHeight="1">
      <c r="A130" s="526" t="s">
        <v>245</v>
      </c>
      <c r="B130" s="540" t="s">
        <v>293</v>
      </c>
      <c r="C130" s="528">
        <v>1879</v>
      </c>
      <c r="D130" s="530" t="s">
        <v>294</v>
      </c>
      <c r="E130" s="532" t="s">
        <v>295</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526"/>
      <c r="B131" s="540"/>
      <c r="C131" s="528"/>
      <c r="D131" s="530"/>
      <c r="E131" s="532"/>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25113000</v>
      </c>
    </row>
    <row r="132" spans="1:47">
      <c r="A132" s="526"/>
      <c r="B132" s="540"/>
      <c r="C132" s="528"/>
      <c r="D132" s="530"/>
      <c r="E132" s="532"/>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v>250000</v>
      </c>
      <c r="AI132" s="75">
        <f t="shared" si="162"/>
        <v>250000</v>
      </c>
      <c r="AJ132" s="104"/>
      <c r="AK132" s="103"/>
      <c r="AL132" s="75">
        <f t="shared" si="163"/>
        <v>0</v>
      </c>
      <c r="AM132" s="104"/>
      <c r="AN132" s="103"/>
      <c r="AO132" s="75">
        <f t="shared" si="164"/>
        <v>0</v>
      </c>
      <c r="AP132" s="104"/>
      <c r="AQ132" s="103"/>
      <c r="AR132" s="75">
        <f t="shared" si="165"/>
        <v>0</v>
      </c>
      <c r="AS132" s="104"/>
      <c r="AT132" s="98"/>
      <c r="AU132" s="79" t="s">
        <v>35</v>
      </c>
    </row>
    <row r="133" spans="1:47">
      <c r="A133" s="526"/>
      <c r="B133" s="540"/>
      <c r="C133" s="528"/>
      <c r="D133" s="530"/>
      <c r="E133" s="532"/>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17738000</v>
      </c>
    </row>
    <row r="134" spans="1:47" ht="15">
      <c r="A134" s="526"/>
      <c r="B134" s="540"/>
      <c r="C134" s="528"/>
      <c r="D134" s="530"/>
      <c r="E134" s="532"/>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c r="AG134" s="464"/>
      <c r="AH134" s="103">
        <v>200000</v>
      </c>
      <c r="AI134" s="75">
        <f t="shared" si="162"/>
        <v>200000</v>
      </c>
      <c r="AJ134" s="104"/>
      <c r="AK134" s="103"/>
      <c r="AL134" s="75">
        <f t="shared" si="163"/>
        <v>0</v>
      </c>
      <c r="AM134" s="104"/>
      <c r="AN134" s="103"/>
      <c r="AO134" s="75">
        <f t="shared" si="164"/>
        <v>0</v>
      </c>
      <c r="AP134" s="104"/>
      <c r="AQ134" s="103"/>
      <c r="AR134" s="75">
        <f t="shared" si="165"/>
        <v>0</v>
      </c>
      <c r="AS134" s="104"/>
      <c r="AT134" s="98"/>
      <c r="AU134" s="79" t="s">
        <v>38</v>
      </c>
    </row>
    <row r="135" spans="1:47">
      <c r="A135" s="526"/>
      <c r="B135" s="540"/>
      <c r="C135" s="528"/>
      <c r="D135" s="530"/>
      <c r="E135" s="532"/>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7375000</v>
      </c>
    </row>
    <row r="136" spans="1:47">
      <c r="A136" s="526"/>
      <c r="B136" s="540"/>
      <c r="C136" s="528"/>
      <c r="D136" s="530"/>
      <c r="E136" s="532"/>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526"/>
      <c r="B137" s="540"/>
      <c r="C137" s="528"/>
      <c r="D137" s="530"/>
      <c r="E137" s="532"/>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0.29367259984868394</v>
      </c>
    </row>
    <row r="138" spans="1:47" ht="15.75" customHeight="1">
      <c r="A138" s="527"/>
      <c r="B138" s="541"/>
      <c r="C138" s="529"/>
      <c r="D138" s="531"/>
      <c r="E138" s="533"/>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489" t="s">
        <v>22</v>
      </c>
      <c r="B139" s="491" t="s">
        <v>18</v>
      </c>
      <c r="C139" s="491" t="s">
        <v>19</v>
      </c>
      <c r="D139" s="491" t="s">
        <v>203</v>
      </c>
      <c r="E139" s="491" t="s">
        <v>21</v>
      </c>
      <c r="F139" s="550" t="s">
        <v>23</v>
      </c>
      <c r="G139" s="466" t="s">
        <v>24</v>
      </c>
      <c r="H139" s="468" t="s">
        <v>25</v>
      </c>
      <c r="I139" s="470" t="s">
        <v>26</v>
      </c>
      <c r="J139" s="466" t="s">
        <v>24</v>
      </c>
      <c r="K139" s="468" t="s">
        <v>25</v>
      </c>
      <c r="L139" s="470" t="s">
        <v>26</v>
      </c>
      <c r="M139" s="466" t="s">
        <v>24</v>
      </c>
      <c r="N139" s="468" t="s">
        <v>25</v>
      </c>
      <c r="O139" s="470" t="s">
        <v>26</v>
      </c>
      <c r="P139" s="466" t="s">
        <v>24</v>
      </c>
      <c r="Q139" s="468" t="s">
        <v>25</v>
      </c>
      <c r="R139" s="470" t="s">
        <v>26</v>
      </c>
      <c r="S139" s="466" t="s">
        <v>24</v>
      </c>
      <c r="T139" s="468" t="s">
        <v>25</v>
      </c>
      <c r="U139" s="470" t="s">
        <v>26</v>
      </c>
      <c r="V139" s="466" t="s">
        <v>24</v>
      </c>
      <c r="W139" s="468" t="s">
        <v>25</v>
      </c>
      <c r="X139" s="551" t="s">
        <v>26</v>
      </c>
      <c r="Y139" s="466" t="s">
        <v>24</v>
      </c>
      <c r="Z139" s="468" t="s">
        <v>25</v>
      </c>
      <c r="AA139" s="470" t="s">
        <v>26</v>
      </c>
      <c r="AB139" s="466" t="s">
        <v>24</v>
      </c>
      <c r="AC139" s="468" t="s">
        <v>25</v>
      </c>
      <c r="AD139" s="470" t="s">
        <v>26</v>
      </c>
      <c r="AE139" s="466" t="s">
        <v>24</v>
      </c>
      <c r="AF139" s="468" t="s">
        <v>25</v>
      </c>
      <c r="AG139" s="470" t="s">
        <v>26</v>
      </c>
      <c r="AH139" s="466" t="s">
        <v>24</v>
      </c>
      <c r="AI139" s="468" t="s">
        <v>25</v>
      </c>
      <c r="AJ139" s="470" t="s">
        <v>26</v>
      </c>
      <c r="AK139" s="466" t="s">
        <v>24</v>
      </c>
      <c r="AL139" s="468" t="s">
        <v>25</v>
      </c>
      <c r="AM139" s="470" t="s">
        <v>26</v>
      </c>
      <c r="AN139" s="466" t="s">
        <v>24</v>
      </c>
      <c r="AO139" s="468" t="s">
        <v>25</v>
      </c>
      <c r="AP139" s="470" t="s">
        <v>26</v>
      </c>
      <c r="AQ139" s="466" t="s">
        <v>24</v>
      </c>
      <c r="AR139" s="468" t="s">
        <v>25</v>
      </c>
      <c r="AS139" s="470" t="s">
        <v>26</v>
      </c>
      <c r="AT139" s="555" t="s">
        <v>24</v>
      </c>
      <c r="AU139" s="472" t="s">
        <v>27</v>
      </c>
    </row>
    <row r="140" spans="1:47" ht="15" customHeight="1">
      <c r="A140" s="539"/>
      <c r="B140" s="525"/>
      <c r="C140" s="525"/>
      <c r="D140" s="525"/>
      <c r="E140" s="525"/>
      <c r="F140" s="543"/>
      <c r="G140" s="505"/>
      <c r="H140" s="495"/>
      <c r="I140" s="497"/>
      <c r="J140" s="505"/>
      <c r="K140" s="495"/>
      <c r="L140" s="497"/>
      <c r="M140" s="505"/>
      <c r="N140" s="495"/>
      <c r="O140" s="497"/>
      <c r="P140" s="505"/>
      <c r="Q140" s="495"/>
      <c r="R140" s="497"/>
      <c r="S140" s="505"/>
      <c r="T140" s="495"/>
      <c r="U140" s="497"/>
      <c r="V140" s="505"/>
      <c r="W140" s="495"/>
      <c r="X140" s="535"/>
      <c r="Y140" s="505"/>
      <c r="Z140" s="495"/>
      <c r="AA140" s="497"/>
      <c r="AB140" s="505"/>
      <c r="AC140" s="495"/>
      <c r="AD140" s="497"/>
      <c r="AE140" s="505"/>
      <c r="AF140" s="495"/>
      <c r="AG140" s="497"/>
      <c r="AH140" s="505"/>
      <c r="AI140" s="495"/>
      <c r="AJ140" s="497"/>
      <c r="AK140" s="505"/>
      <c r="AL140" s="495"/>
      <c r="AM140" s="497"/>
      <c r="AN140" s="505"/>
      <c r="AO140" s="495"/>
      <c r="AP140" s="497"/>
      <c r="AQ140" s="505"/>
      <c r="AR140" s="495"/>
      <c r="AS140" s="497"/>
      <c r="AT140" s="537"/>
      <c r="AU140" s="545"/>
    </row>
    <row r="141" spans="1:47" ht="15" customHeight="1">
      <c r="A141" s="526" t="s">
        <v>245</v>
      </c>
      <c r="B141" s="540" t="s">
        <v>296</v>
      </c>
      <c r="C141" s="528">
        <v>1493</v>
      </c>
      <c r="D141" s="530" t="s">
        <v>297</v>
      </c>
      <c r="E141" s="532" t="s">
        <v>298</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526"/>
      <c r="B142" s="540"/>
      <c r="C142" s="528"/>
      <c r="D142" s="530"/>
      <c r="E142" s="532"/>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526"/>
      <c r="B143" s="540"/>
      <c r="C143" s="528"/>
      <c r="D143" s="530"/>
      <c r="E143" s="532"/>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526"/>
      <c r="B144" s="540"/>
      <c r="C144" s="528"/>
      <c r="D144" s="530"/>
      <c r="E144" s="532"/>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526"/>
      <c r="B145" s="540"/>
      <c r="C145" s="528"/>
      <c r="D145" s="530"/>
      <c r="E145" s="532"/>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526"/>
      <c r="B146" s="540"/>
      <c r="C146" s="528"/>
      <c r="D146" s="530"/>
      <c r="E146" s="532"/>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526"/>
      <c r="B147" s="540"/>
      <c r="C147" s="528"/>
      <c r="D147" s="530"/>
      <c r="E147" s="532"/>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526"/>
      <c r="B148" s="540"/>
      <c r="C148" s="528"/>
      <c r="D148" s="530"/>
      <c r="E148" s="532"/>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526"/>
      <c r="B149" s="540"/>
      <c r="C149" s="528"/>
      <c r="D149" s="530"/>
      <c r="E149" s="532"/>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539" t="s">
        <v>22</v>
      </c>
      <c r="B150" s="525" t="s">
        <v>18</v>
      </c>
      <c r="C150" s="525" t="s">
        <v>19</v>
      </c>
      <c r="D150" s="525" t="s">
        <v>203</v>
      </c>
      <c r="E150" s="525" t="s">
        <v>21</v>
      </c>
      <c r="F150" s="543" t="s">
        <v>23</v>
      </c>
      <c r="G150" s="505" t="s">
        <v>24</v>
      </c>
      <c r="H150" s="495" t="s">
        <v>25</v>
      </c>
      <c r="I150" s="497" t="s">
        <v>26</v>
      </c>
      <c r="J150" s="505" t="s">
        <v>24</v>
      </c>
      <c r="K150" s="495" t="s">
        <v>25</v>
      </c>
      <c r="L150" s="497" t="s">
        <v>26</v>
      </c>
      <c r="M150" s="505" t="s">
        <v>24</v>
      </c>
      <c r="N150" s="495" t="s">
        <v>25</v>
      </c>
      <c r="O150" s="497" t="s">
        <v>26</v>
      </c>
      <c r="P150" s="505" t="s">
        <v>24</v>
      </c>
      <c r="Q150" s="495" t="s">
        <v>25</v>
      </c>
      <c r="R150" s="497" t="s">
        <v>26</v>
      </c>
      <c r="S150" s="505" t="s">
        <v>24</v>
      </c>
      <c r="T150" s="495" t="s">
        <v>25</v>
      </c>
      <c r="U150" s="497" t="s">
        <v>26</v>
      </c>
      <c r="V150" s="505" t="s">
        <v>24</v>
      </c>
      <c r="W150" s="495" t="s">
        <v>25</v>
      </c>
      <c r="X150" s="535" t="s">
        <v>26</v>
      </c>
      <c r="Y150" s="505" t="s">
        <v>24</v>
      </c>
      <c r="Z150" s="495" t="s">
        <v>25</v>
      </c>
      <c r="AA150" s="497" t="s">
        <v>26</v>
      </c>
      <c r="AB150" s="505" t="s">
        <v>24</v>
      </c>
      <c r="AC150" s="495" t="s">
        <v>25</v>
      </c>
      <c r="AD150" s="497" t="s">
        <v>26</v>
      </c>
      <c r="AE150" s="505" t="s">
        <v>24</v>
      </c>
      <c r="AF150" s="495" t="s">
        <v>25</v>
      </c>
      <c r="AG150" s="497" t="s">
        <v>26</v>
      </c>
      <c r="AH150" s="505" t="s">
        <v>24</v>
      </c>
      <c r="AI150" s="495" t="s">
        <v>25</v>
      </c>
      <c r="AJ150" s="497" t="s">
        <v>26</v>
      </c>
      <c r="AK150" s="505" t="s">
        <v>24</v>
      </c>
      <c r="AL150" s="495" t="s">
        <v>25</v>
      </c>
      <c r="AM150" s="497" t="s">
        <v>26</v>
      </c>
      <c r="AN150" s="505" t="s">
        <v>24</v>
      </c>
      <c r="AO150" s="495" t="s">
        <v>25</v>
      </c>
      <c r="AP150" s="497" t="s">
        <v>26</v>
      </c>
      <c r="AQ150" s="505" t="s">
        <v>24</v>
      </c>
      <c r="AR150" s="495" t="s">
        <v>25</v>
      </c>
      <c r="AS150" s="497" t="s">
        <v>26</v>
      </c>
      <c r="AT150" s="537" t="s">
        <v>24</v>
      </c>
      <c r="AU150" s="545" t="s">
        <v>27</v>
      </c>
    </row>
    <row r="151" spans="1:47" ht="15" customHeight="1">
      <c r="A151" s="539"/>
      <c r="B151" s="525"/>
      <c r="C151" s="525"/>
      <c r="D151" s="525"/>
      <c r="E151" s="525"/>
      <c r="F151" s="543"/>
      <c r="G151" s="505"/>
      <c r="H151" s="495"/>
      <c r="I151" s="497"/>
      <c r="J151" s="505"/>
      <c r="K151" s="495"/>
      <c r="L151" s="497"/>
      <c r="M151" s="505"/>
      <c r="N151" s="495"/>
      <c r="O151" s="497"/>
      <c r="P151" s="505"/>
      <c r="Q151" s="495"/>
      <c r="R151" s="497"/>
      <c r="S151" s="505"/>
      <c r="T151" s="495"/>
      <c r="U151" s="497"/>
      <c r="V151" s="505"/>
      <c r="W151" s="495"/>
      <c r="X151" s="535"/>
      <c r="Y151" s="505"/>
      <c r="Z151" s="495"/>
      <c r="AA151" s="497"/>
      <c r="AB151" s="505"/>
      <c r="AC151" s="495"/>
      <c r="AD151" s="497"/>
      <c r="AE151" s="505"/>
      <c r="AF151" s="495"/>
      <c r="AG151" s="497"/>
      <c r="AH151" s="505"/>
      <c r="AI151" s="495"/>
      <c r="AJ151" s="497"/>
      <c r="AK151" s="505"/>
      <c r="AL151" s="495"/>
      <c r="AM151" s="497"/>
      <c r="AN151" s="505"/>
      <c r="AO151" s="495"/>
      <c r="AP151" s="497"/>
      <c r="AQ151" s="505"/>
      <c r="AR151" s="495"/>
      <c r="AS151" s="497"/>
      <c r="AT151" s="537"/>
      <c r="AU151" s="545"/>
    </row>
    <row r="152" spans="1:47" ht="15" customHeight="1">
      <c r="A152" s="526" t="s">
        <v>247</v>
      </c>
      <c r="B152" s="540" t="s">
        <v>299</v>
      </c>
      <c r="C152" s="528">
        <v>1623</v>
      </c>
      <c r="D152" s="530" t="s">
        <v>300</v>
      </c>
      <c r="E152" s="532" t="s">
        <v>301</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526"/>
      <c r="B153" s="540"/>
      <c r="C153" s="528"/>
      <c r="D153" s="530"/>
      <c r="E153" s="532"/>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526"/>
      <c r="B154" s="540"/>
      <c r="C154" s="528"/>
      <c r="D154" s="530"/>
      <c r="E154" s="532"/>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526"/>
      <c r="B155" s="540"/>
      <c r="C155" s="528"/>
      <c r="D155" s="530"/>
      <c r="E155" s="532"/>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526"/>
      <c r="B156" s="540"/>
      <c r="C156" s="528"/>
      <c r="D156" s="530"/>
      <c r="E156" s="532"/>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526"/>
      <c r="B157" s="540"/>
      <c r="C157" s="528"/>
      <c r="D157" s="530"/>
      <c r="E157" s="532"/>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526"/>
      <c r="B158" s="540"/>
      <c r="C158" s="528"/>
      <c r="D158" s="530"/>
      <c r="E158" s="532"/>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526"/>
      <c r="B159" s="540"/>
      <c r="C159" s="528"/>
      <c r="D159" s="530"/>
      <c r="E159" s="532"/>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473"/>
      <c r="B160" s="476"/>
      <c r="C160" s="479"/>
      <c r="D160" s="482"/>
      <c r="E160" s="485"/>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538" t="s">
        <v>22</v>
      </c>
      <c r="B161" s="524" t="s">
        <v>18</v>
      </c>
      <c r="C161" s="524" t="s">
        <v>19</v>
      </c>
      <c r="D161" s="524" t="s">
        <v>203</v>
      </c>
      <c r="E161" s="524" t="s">
        <v>21</v>
      </c>
      <c r="F161" s="542" t="s">
        <v>23</v>
      </c>
      <c r="G161" s="504" t="s">
        <v>24</v>
      </c>
      <c r="H161" s="494" t="s">
        <v>25</v>
      </c>
      <c r="I161" s="496" t="s">
        <v>26</v>
      </c>
      <c r="J161" s="504" t="s">
        <v>24</v>
      </c>
      <c r="K161" s="494" t="s">
        <v>25</v>
      </c>
      <c r="L161" s="496" t="s">
        <v>26</v>
      </c>
      <c r="M161" s="504" t="s">
        <v>24</v>
      </c>
      <c r="N161" s="494" t="s">
        <v>25</v>
      </c>
      <c r="O161" s="496" t="s">
        <v>26</v>
      </c>
      <c r="P161" s="504" t="s">
        <v>24</v>
      </c>
      <c r="Q161" s="494" t="s">
        <v>25</v>
      </c>
      <c r="R161" s="496" t="s">
        <v>26</v>
      </c>
      <c r="S161" s="504" t="s">
        <v>24</v>
      </c>
      <c r="T161" s="494" t="s">
        <v>25</v>
      </c>
      <c r="U161" s="496" t="s">
        <v>26</v>
      </c>
      <c r="V161" s="504" t="s">
        <v>24</v>
      </c>
      <c r="W161" s="494" t="s">
        <v>25</v>
      </c>
      <c r="X161" s="534" t="s">
        <v>26</v>
      </c>
      <c r="Y161" s="504" t="s">
        <v>24</v>
      </c>
      <c r="Z161" s="494" t="s">
        <v>25</v>
      </c>
      <c r="AA161" s="496" t="s">
        <v>26</v>
      </c>
      <c r="AB161" s="504" t="s">
        <v>24</v>
      </c>
      <c r="AC161" s="494" t="s">
        <v>25</v>
      </c>
      <c r="AD161" s="496" t="s">
        <v>26</v>
      </c>
      <c r="AE161" s="504" t="s">
        <v>24</v>
      </c>
      <c r="AF161" s="494" t="s">
        <v>25</v>
      </c>
      <c r="AG161" s="496" t="s">
        <v>26</v>
      </c>
      <c r="AH161" s="504" t="s">
        <v>24</v>
      </c>
      <c r="AI161" s="494" t="s">
        <v>25</v>
      </c>
      <c r="AJ161" s="496" t="s">
        <v>26</v>
      </c>
      <c r="AK161" s="504" t="s">
        <v>24</v>
      </c>
      <c r="AL161" s="494" t="s">
        <v>25</v>
      </c>
      <c r="AM161" s="496" t="s">
        <v>26</v>
      </c>
      <c r="AN161" s="504" t="s">
        <v>24</v>
      </c>
      <c r="AO161" s="494" t="s">
        <v>25</v>
      </c>
      <c r="AP161" s="496" t="s">
        <v>26</v>
      </c>
      <c r="AQ161" s="504" t="s">
        <v>24</v>
      </c>
      <c r="AR161" s="494" t="s">
        <v>25</v>
      </c>
      <c r="AS161" s="496" t="s">
        <v>26</v>
      </c>
      <c r="AT161" s="536" t="s">
        <v>24</v>
      </c>
      <c r="AU161" s="544" t="s">
        <v>27</v>
      </c>
    </row>
    <row r="162" spans="1:47" ht="15" customHeight="1">
      <c r="A162" s="539"/>
      <c r="B162" s="525"/>
      <c r="C162" s="525"/>
      <c r="D162" s="525"/>
      <c r="E162" s="525"/>
      <c r="F162" s="543"/>
      <c r="G162" s="505"/>
      <c r="H162" s="495"/>
      <c r="I162" s="497"/>
      <c r="J162" s="505"/>
      <c r="K162" s="495"/>
      <c r="L162" s="497"/>
      <c r="M162" s="505"/>
      <c r="N162" s="495"/>
      <c r="O162" s="497"/>
      <c r="P162" s="505"/>
      <c r="Q162" s="495"/>
      <c r="R162" s="497"/>
      <c r="S162" s="505"/>
      <c r="T162" s="495"/>
      <c r="U162" s="497"/>
      <c r="V162" s="505"/>
      <c r="W162" s="495"/>
      <c r="X162" s="535"/>
      <c r="Y162" s="505"/>
      <c r="Z162" s="495"/>
      <c r="AA162" s="497"/>
      <c r="AB162" s="505"/>
      <c r="AC162" s="495"/>
      <c r="AD162" s="497"/>
      <c r="AE162" s="505"/>
      <c r="AF162" s="495"/>
      <c r="AG162" s="497"/>
      <c r="AH162" s="505"/>
      <c r="AI162" s="495"/>
      <c r="AJ162" s="497"/>
      <c r="AK162" s="505"/>
      <c r="AL162" s="495"/>
      <c r="AM162" s="497"/>
      <c r="AN162" s="505"/>
      <c r="AO162" s="495"/>
      <c r="AP162" s="497"/>
      <c r="AQ162" s="505"/>
      <c r="AR162" s="495"/>
      <c r="AS162" s="497"/>
      <c r="AT162" s="537"/>
      <c r="AU162" s="545"/>
    </row>
    <row r="163" spans="1:47" ht="15" customHeight="1">
      <c r="A163" s="526" t="s">
        <v>245</v>
      </c>
      <c r="B163" s="540" t="s">
        <v>302</v>
      </c>
      <c r="C163" s="528">
        <v>2214</v>
      </c>
      <c r="D163" s="530" t="s">
        <v>303</v>
      </c>
      <c r="E163" s="532" t="s">
        <v>304</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526"/>
      <c r="B164" s="540"/>
      <c r="C164" s="528"/>
      <c r="D164" s="530"/>
      <c r="E164" s="532"/>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526"/>
      <c r="B165" s="540"/>
      <c r="C165" s="528"/>
      <c r="D165" s="530"/>
      <c r="E165" s="532"/>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526"/>
      <c r="B166" s="540"/>
      <c r="C166" s="528"/>
      <c r="D166" s="530"/>
      <c r="E166" s="532"/>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526"/>
      <c r="B167" s="540"/>
      <c r="C167" s="528"/>
      <c r="D167" s="530"/>
      <c r="E167" s="532"/>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526"/>
      <c r="B168" s="540"/>
      <c r="C168" s="528"/>
      <c r="D168" s="530"/>
      <c r="E168" s="532"/>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526"/>
      <c r="B169" s="540"/>
      <c r="C169" s="528"/>
      <c r="D169" s="530"/>
      <c r="E169" s="532"/>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526"/>
      <c r="B170" s="540"/>
      <c r="C170" s="528"/>
      <c r="D170" s="530"/>
      <c r="E170" s="532"/>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527"/>
      <c r="B171" s="541"/>
      <c r="C171" s="529"/>
      <c r="D171" s="531"/>
      <c r="E171" s="533"/>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538" t="s">
        <v>22</v>
      </c>
      <c r="B172" s="524" t="s">
        <v>18</v>
      </c>
      <c r="C172" s="524" t="s">
        <v>19</v>
      </c>
      <c r="D172" s="524" t="s">
        <v>203</v>
      </c>
      <c r="E172" s="524" t="s">
        <v>21</v>
      </c>
      <c r="F172" s="542" t="s">
        <v>23</v>
      </c>
      <c r="G172" s="504" t="s">
        <v>24</v>
      </c>
      <c r="H172" s="494" t="s">
        <v>25</v>
      </c>
      <c r="I172" s="496" t="s">
        <v>26</v>
      </c>
      <c r="J172" s="504" t="s">
        <v>24</v>
      </c>
      <c r="K172" s="494" t="s">
        <v>25</v>
      </c>
      <c r="L172" s="496" t="s">
        <v>26</v>
      </c>
      <c r="M172" s="504" t="s">
        <v>24</v>
      </c>
      <c r="N172" s="494" t="s">
        <v>25</v>
      </c>
      <c r="O172" s="496" t="s">
        <v>26</v>
      </c>
      <c r="P172" s="504" t="s">
        <v>24</v>
      </c>
      <c r="Q172" s="494" t="s">
        <v>25</v>
      </c>
      <c r="R172" s="496" t="s">
        <v>26</v>
      </c>
      <c r="S172" s="504" t="s">
        <v>24</v>
      </c>
      <c r="T172" s="494" t="s">
        <v>25</v>
      </c>
      <c r="U172" s="496" t="s">
        <v>26</v>
      </c>
      <c r="V172" s="504" t="s">
        <v>24</v>
      </c>
      <c r="W172" s="494" t="s">
        <v>25</v>
      </c>
      <c r="X172" s="534" t="s">
        <v>26</v>
      </c>
      <c r="Y172" s="504" t="s">
        <v>24</v>
      </c>
      <c r="Z172" s="494" t="s">
        <v>25</v>
      </c>
      <c r="AA172" s="496" t="s">
        <v>26</v>
      </c>
      <c r="AB172" s="504" t="s">
        <v>24</v>
      </c>
      <c r="AC172" s="494" t="s">
        <v>25</v>
      </c>
      <c r="AD172" s="496" t="s">
        <v>26</v>
      </c>
      <c r="AE172" s="504" t="s">
        <v>24</v>
      </c>
      <c r="AF172" s="494" t="s">
        <v>25</v>
      </c>
      <c r="AG172" s="496" t="s">
        <v>26</v>
      </c>
      <c r="AH172" s="504" t="s">
        <v>24</v>
      </c>
      <c r="AI172" s="494" t="s">
        <v>25</v>
      </c>
      <c r="AJ172" s="496" t="s">
        <v>26</v>
      </c>
      <c r="AK172" s="504" t="s">
        <v>24</v>
      </c>
      <c r="AL172" s="494" t="s">
        <v>25</v>
      </c>
      <c r="AM172" s="496" t="s">
        <v>26</v>
      </c>
      <c r="AN172" s="504" t="s">
        <v>24</v>
      </c>
      <c r="AO172" s="494" t="s">
        <v>25</v>
      </c>
      <c r="AP172" s="496" t="s">
        <v>26</v>
      </c>
      <c r="AQ172" s="504" t="s">
        <v>24</v>
      </c>
      <c r="AR172" s="494" t="s">
        <v>25</v>
      </c>
      <c r="AS172" s="496" t="s">
        <v>26</v>
      </c>
      <c r="AT172" s="536" t="s">
        <v>24</v>
      </c>
      <c r="AU172" s="544" t="s">
        <v>27</v>
      </c>
    </row>
    <row r="173" spans="1:47" ht="15" customHeight="1">
      <c r="A173" s="539"/>
      <c r="B173" s="525"/>
      <c r="C173" s="525"/>
      <c r="D173" s="525"/>
      <c r="E173" s="525"/>
      <c r="F173" s="543"/>
      <c r="G173" s="505"/>
      <c r="H173" s="495"/>
      <c r="I173" s="497"/>
      <c r="J173" s="505"/>
      <c r="K173" s="495"/>
      <c r="L173" s="497"/>
      <c r="M173" s="505"/>
      <c r="N173" s="495"/>
      <c r="O173" s="497"/>
      <c r="P173" s="505"/>
      <c r="Q173" s="495"/>
      <c r="R173" s="497"/>
      <c r="S173" s="505"/>
      <c r="T173" s="495"/>
      <c r="U173" s="497"/>
      <c r="V173" s="505"/>
      <c r="W173" s="495"/>
      <c r="X173" s="535"/>
      <c r="Y173" s="505"/>
      <c r="Z173" s="495"/>
      <c r="AA173" s="497"/>
      <c r="AB173" s="505"/>
      <c r="AC173" s="495"/>
      <c r="AD173" s="497"/>
      <c r="AE173" s="505"/>
      <c r="AF173" s="495"/>
      <c r="AG173" s="497"/>
      <c r="AH173" s="505"/>
      <c r="AI173" s="495"/>
      <c r="AJ173" s="497"/>
      <c r="AK173" s="505"/>
      <c r="AL173" s="495"/>
      <c r="AM173" s="497"/>
      <c r="AN173" s="505"/>
      <c r="AO173" s="495"/>
      <c r="AP173" s="497"/>
      <c r="AQ173" s="505"/>
      <c r="AR173" s="495"/>
      <c r="AS173" s="497"/>
      <c r="AT173" s="537"/>
      <c r="AU173" s="545"/>
    </row>
    <row r="174" spans="1:47" ht="15" customHeight="1">
      <c r="A174" s="526" t="s">
        <v>245</v>
      </c>
      <c r="B174" s="540" t="s">
        <v>305</v>
      </c>
      <c r="C174" s="528">
        <v>213</v>
      </c>
      <c r="D174" s="530" t="s">
        <v>306</v>
      </c>
      <c r="E174" s="532" t="s">
        <v>307</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526"/>
      <c r="B175" s="540"/>
      <c r="C175" s="528"/>
      <c r="D175" s="530"/>
      <c r="E175" s="532"/>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526"/>
      <c r="B176" s="540"/>
      <c r="C176" s="528"/>
      <c r="D176" s="530"/>
      <c r="E176" s="532"/>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526"/>
      <c r="B177" s="540"/>
      <c r="C177" s="528"/>
      <c r="D177" s="530"/>
      <c r="E177" s="532"/>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141000</v>
      </c>
    </row>
    <row r="178" spans="1:47">
      <c r="A178" s="526"/>
      <c r="B178" s="540"/>
      <c r="C178" s="528"/>
      <c r="D178" s="530"/>
      <c r="E178" s="532"/>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526"/>
      <c r="B179" s="540"/>
      <c r="C179" s="528"/>
      <c r="D179" s="530"/>
      <c r="E179" s="532"/>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c r="AG179" s="170">
        <v>3696000</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6206000</v>
      </c>
    </row>
    <row r="180" spans="1:47">
      <c r="A180" s="526"/>
      <c r="B180" s="540"/>
      <c r="C180" s="528"/>
      <c r="D180" s="530"/>
      <c r="E180" s="532"/>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526"/>
      <c r="B181" s="540"/>
      <c r="C181" s="528"/>
      <c r="D181" s="530"/>
      <c r="E181" s="532"/>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0.97778478021112336</v>
      </c>
    </row>
    <row r="182" spans="1:47" ht="15.75" customHeight="1">
      <c r="A182" s="527"/>
      <c r="B182" s="541"/>
      <c r="C182" s="529"/>
      <c r="D182" s="531"/>
      <c r="E182" s="533"/>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489" t="s">
        <v>22</v>
      </c>
      <c r="B183" s="491" t="s">
        <v>18</v>
      </c>
      <c r="C183" s="491" t="s">
        <v>19</v>
      </c>
      <c r="D183" s="491" t="s">
        <v>203</v>
      </c>
      <c r="E183" s="491" t="s">
        <v>21</v>
      </c>
      <c r="F183" s="550" t="s">
        <v>23</v>
      </c>
      <c r="G183" s="466" t="s">
        <v>24</v>
      </c>
      <c r="H183" s="468" t="s">
        <v>25</v>
      </c>
      <c r="I183" s="470" t="s">
        <v>26</v>
      </c>
      <c r="J183" s="466" t="s">
        <v>24</v>
      </c>
      <c r="K183" s="468" t="s">
        <v>25</v>
      </c>
      <c r="L183" s="470" t="s">
        <v>26</v>
      </c>
      <c r="M183" s="466" t="s">
        <v>24</v>
      </c>
      <c r="N183" s="468" t="s">
        <v>25</v>
      </c>
      <c r="O183" s="470" t="s">
        <v>26</v>
      </c>
      <c r="P183" s="466" t="s">
        <v>24</v>
      </c>
      <c r="Q183" s="468" t="s">
        <v>25</v>
      </c>
      <c r="R183" s="470" t="s">
        <v>26</v>
      </c>
      <c r="S183" s="466" t="s">
        <v>24</v>
      </c>
      <c r="T183" s="468" t="s">
        <v>25</v>
      </c>
      <c r="U183" s="470" t="s">
        <v>26</v>
      </c>
      <c r="V183" s="466" t="s">
        <v>24</v>
      </c>
      <c r="W183" s="468" t="s">
        <v>25</v>
      </c>
      <c r="X183" s="551" t="s">
        <v>26</v>
      </c>
      <c r="Y183" s="466" t="s">
        <v>24</v>
      </c>
      <c r="Z183" s="468" t="s">
        <v>25</v>
      </c>
      <c r="AA183" s="470" t="s">
        <v>26</v>
      </c>
      <c r="AB183" s="466" t="s">
        <v>24</v>
      </c>
      <c r="AC183" s="468" t="s">
        <v>25</v>
      </c>
      <c r="AD183" s="470" t="s">
        <v>26</v>
      </c>
      <c r="AE183" s="466" t="s">
        <v>24</v>
      </c>
      <c r="AF183" s="468" t="s">
        <v>25</v>
      </c>
      <c r="AG183" s="470" t="s">
        <v>26</v>
      </c>
      <c r="AH183" s="466" t="s">
        <v>24</v>
      </c>
      <c r="AI183" s="468" t="s">
        <v>25</v>
      </c>
      <c r="AJ183" s="470" t="s">
        <v>26</v>
      </c>
      <c r="AK183" s="466" t="s">
        <v>24</v>
      </c>
      <c r="AL183" s="468" t="s">
        <v>25</v>
      </c>
      <c r="AM183" s="470" t="s">
        <v>26</v>
      </c>
      <c r="AN183" s="466" t="s">
        <v>24</v>
      </c>
      <c r="AO183" s="468" t="s">
        <v>25</v>
      </c>
      <c r="AP183" s="470" t="s">
        <v>26</v>
      </c>
      <c r="AQ183" s="466" t="s">
        <v>24</v>
      </c>
      <c r="AR183" s="468" t="s">
        <v>25</v>
      </c>
      <c r="AS183" s="470" t="s">
        <v>26</v>
      </c>
      <c r="AT183" s="555" t="s">
        <v>24</v>
      </c>
      <c r="AU183" s="472" t="s">
        <v>27</v>
      </c>
    </row>
    <row r="184" spans="1:47" ht="15" customHeight="1">
      <c r="A184" s="539"/>
      <c r="B184" s="525"/>
      <c r="C184" s="525"/>
      <c r="D184" s="525"/>
      <c r="E184" s="525"/>
      <c r="F184" s="543"/>
      <c r="G184" s="505"/>
      <c r="H184" s="495"/>
      <c r="I184" s="497"/>
      <c r="J184" s="505"/>
      <c r="K184" s="495"/>
      <c r="L184" s="497"/>
      <c r="M184" s="505"/>
      <c r="N184" s="495"/>
      <c r="O184" s="497"/>
      <c r="P184" s="505"/>
      <c r="Q184" s="495"/>
      <c r="R184" s="497"/>
      <c r="S184" s="505"/>
      <c r="T184" s="495"/>
      <c r="U184" s="497"/>
      <c r="V184" s="505"/>
      <c r="W184" s="495"/>
      <c r="X184" s="535"/>
      <c r="Y184" s="505"/>
      <c r="Z184" s="495"/>
      <c r="AA184" s="497"/>
      <c r="AB184" s="505"/>
      <c r="AC184" s="495"/>
      <c r="AD184" s="497"/>
      <c r="AE184" s="505"/>
      <c r="AF184" s="495"/>
      <c r="AG184" s="497"/>
      <c r="AH184" s="505"/>
      <c r="AI184" s="495"/>
      <c r="AJ184" s="497"/>
      <c r="AK184" s="505"/>
      <c r="AL184" s="495"/>
      <c r="AM184" s="497"/>
      <c r="AN184" s="505"/>
      <c r="AO184" s="495"/>
      <c r="AP184" s="497"/>
      <c r="AQ184" s="505"/>
      <c r="AR184" s="495"/>
      <c r="AS184" s="497"/>
      <c r="AT184" s="537"/>
      <c r="AU184" s="545"/>
    </row>
    <row r="185" spans="1:47" ht="15" customHeight="1">
      <c r="A185" s="526" t="s">
        <v>245</v>
      </c>
      <c r="B185" s="540" t="s">
        <v>308</v>
      </c>
      <c r="C185" s="528">
        <v>1451</v>
      </c>
      <c r="D185" s="530" t="s">
        <v>309</v>
      </c>
      <c r="E185" s="532" t="s">
        <v>310</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526"/>
      <c r="B186" s="540"/>
      <c r="C186" s="528"/>
      <c r="D186" s="530"/>
      <c r="E186" s="532"/>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552">
        <f>SUM(G185:G196,J185:J196,M185:M196,P185:P196,S185:S196,AT185:AT196,V185:V196,Y185:Y196,AB185:AB196,AE185:AE196,AH185:AH196,AK185:AK196,AN185:AN196,AQ185:AQ196)</f>
        <v>30400</v>
      </c>
    </row>
    <row r="187" spans="1:47" ht="14.45" customHeight="1">
      <c r="A187" s="526"/>
      <c r="B187" s="540"/>
      <c r="C187" s="528"/>
      <c r="D187" s="530"/>
      <c r="E187" s="532"/>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552"/>
    </row>
    <row r="188" spans="1:47" ht="14.45" customHeight="1">
      <c r="A188" s="526"/>
      <c r="B188" s="540"/>
      <c r="C188" s="528"/>
      <c r="D188" s="530"/>
      <c r="E188" s="532"/>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526"/>
      <c r="B189" s="540"/>
      <c r="C189" s="528"/>
      <c r="D189" s="530"/>
      <c r="E189" s="532"/>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552">
        <f>SUM(H185:H196,K185:K196,N185:N196,Q185:Q196,T185:T196,AF185:AF196,AI185:AI196,AL185:AL196,AO185:AO196,AR185:AR196)</f>
        <v>0</v>
      </c>
    </row>
    <row r="190" spans="1:47" ht="14.45" customHeight="1">
      <c r="A190" s="526"/>
      <c r="B190" s="540"/>
      <c r="C190" s="528"/>
      <c r="D190" s="530"/>
      <c r="E190" s="532"/>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552"/>
    </row>
    <row r="191" spans="1:47" ht="14.45" customHeight="1">
      <c r="A191" s="526"/>
      <c r="B191" s="540"/>
      <c r="C191" s="528"/>
      <c r="D191" s="530"/>
      <c r="E191" s="532"/>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526"/>
      <c r="B192" s="540"/>
      <c r="C192" s="528"/>
      <c r="D192" s="530"/>
      <c r="E192" s="532"/>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552">
        <f>SUM(I185:I196,L185:L196,O185:O196,R185:R196,U185:U196,X185:X196,AA185:AA196,AD185:AD196,AG185:AG196,AJ185:AJ196,AM185:AM196,AP185:AP196,AS185:AS196)</f>
        <v>30400</v>
      </c>
    </row>
    <row r="193" spans="1:47" ht="14.45" customHeight="1">
      <c r="A193" s="526"/>
      <c r="B193" s="540"/>
      <c r="C193" s="528"/>
      <c r="D193" s="530"/>
      <c r="E193" s="532"/>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552"/>
    </row>
    <row r="194" spans="1:47" ht="14.45" customHeight="1">
      <c r="A194" s="526"/>
      <c r="B194" s="540"/>
      <c r="C194" s="528"/>
      <c r="D194" s="530"/>
      <c r="E194" s="532"/>
      <c r="F194" s="91" t="s">
        <v>311</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526"/>
      <c r="B195" s="540"/>
      <c r="C195" s="528"/>
      <c r="D195" s="530"/>
      <c r="E195" s="532"/>
      <c r="F195" s="91" t="s">
        <v>312</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565">
        <f>AU192/AU186</f>
        <v>1</v>
      </c>
    </row>
    <row r="196" spans="1:47" ht="15" customHeight="1">
      <c r="A196" s="473"/>
      <c r="B196" s="476"/>
      <c r="C196" s="479"/>
      <c r="D196" s="482"/>
      <c r="E196" s="485"/>
      <c r="F196" s="93" t="s">
        <v>313</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566"/>
    </row>
    <row r="197" spans="1:47" ht="15" customHeight="1">
      <c r="A197" s="538" t="s">
        <v>22</v>
      </c>
      <c r="B197" s="524" t="s">
        <v>18</v>
      </c>
      <c r="C197" s="524" t="s">
        <v>19</v>
      </c>
      <c r="D197" s="524" t="s">
        <v>203</v>
      </c>
      <c r="E197" s="524" t="s">
        <v>21</v>
      </c>
      <c r="F197" s="542" t="s">
        <v>23</v>
      </c>
      <c r="G197" s="504" t="s">
        <v>24</v>
      </c>
      <c r="H197" s="494" t="s">
        <v>25</v>
      </c>
      <c r="I197" s="496" t="s">
        <v>26</v>
      </c>
      <c r="J197" s="504" t="s">
        <v>24</v>
      </c>
      <c r="K197" s="494" t="s">
        <v>25</v>
      </c>
      <c r="L197" s="496" t="s">
        <v>26</v>
      </c>
      <c r="M197" s="504" t="s">
        <v>24</v>
      </c>
      <c r="N197" s="494" t="s">
        <v>25</v>
      </c>
      <c r="O197" s="496" t="s">
        <v>26</v>
      </c>
      <c r="P197" s="504" t="s">
        <v>24</v>
      </c>
      <c r="Q197" s="494" t="s">
        <v>25</v>
      </c>
      <c r="R197" s="496" t="s">
        <v>26</v>
      </c>
      <c r="S197" s="504" t="s">
        <v>24</v>
      </c>
      <c r="T197" s="494" t="s">
        <v>25</v>
      </c>
      <c r="U197" s="496" t="s">
        <v>26</v>
      </c>
      <c r="V197" s="504" t="s">
        <v>24</v>
      </c>
      <c r="W197" s="494" t="s">
        <v>25</v>
      </c>
      <c r="X197" s="534" t="s">
        <v>26</v>
      </c>
      <c r="Y197" s="504" t="s">
        <v>24</v>
      </c>
      <c r="Z197" s="494" t="s">
        <v>25</v>
      </c>
      <c r="AA197" s="496" t="s">
        <v>26</v>
      </c>
      <c r="AB197" s="504" t="s">
        <v>24</v>
      </c>
      <c r="AC197" s="494" t="s">
        <v>25</v>
      </c>
      <c r="AD197" s="496" t="s">
        <v>26</v>
      </c>
      <c r="AE197" s="504" t="s">
        <v>24</v>
      </c>
      <c r="AF197" s="494" t="s">
        <v>25</v>
      </c>
      <c r="AG197" s="496" t="s">
        <v>26</v>
      </c>
      <c r="AH197" s="504" t="s">
        <v>24</v>
      </c>
      <c r="AI197" s="494" t="s">
        <v>25</v>
      </c>
      <c r="AJ197" s="496" t="s">
        <v>26</v>
      </c>
      <c r="AK197" s="504" t="s">
        <v>24</v>
      </c>
      <c r="AL197" s="494" t="s">
        <v>25</v>
      </c>
      <c r="AM197" s="496" t="s">
        <v>26</v>
      </c>
      <c r="AN197" s="504" t="s">
        <v>24</v>
      </c>
      <c r="AO197" s="494" t="s">
        <v>25</v>
      </c>
      <c r="AP197" s="496" t="s">
        <v>26</v>
      </c>
      <c r="AQ197" s="504" t="s">
        <v>24</v>
      </c>
      <c r="AR197" s="494" t="s">
        <v>25</v>
      </c>
      <c r="AS197" s="496" t="s">
        <v>26</v>
      </c>
      <c r="AT197" s="536" t="s">
        <v>24</v>
      </c>
      <c r="AU197" s="544" t="s">
        <v>27</v>
      </c>
    </row>
    <row r="198" spans="1:47" ht="15" customHeight="1">
      <c r="A198" s="539"/>
      <c r="B198" s="525"/>
      <c r="C198" s="525"/>
      <c r="D198" s="525"/>
      <c r="E198" s="525"/>
      <c r="F198" s="543"/>
      <c r="G198" s="505"/>
      <c r="H198" s="495"/>
      <c r="I198" s="497"/>
      <c r="J198" s="505"/>
      <c r="K198" s="495"/>
      <c r="L198" s="497"/>
      <c r="M198" s="505"/>
      <c r="N198" s="495"/>
      <c r="O198" s="497"/>
      <c r="P198" s="505"/>
      <c r="Q198" s="495"/>
      <c r="R198" s="497"/>
      <c r="S198" s="505"/>
      <c r="T198" s="495"/>
      <c r="U198" s="497"/>
      <c r="V198" s="505"/>
      <c r="W198" s="495"/>
      <c r="X198" s="535"/>
      <c r="Y198" s="505"/>
      <c r="Z198" s="495"/>
      <c r="AA198" s="497"/>
      <c r="AB198" s="505"/>
      <c r="AC198" s="495"/>
      <c r="AD198" s="497"/>
      <c r="AE198" s="505"/>
      <c r="AF198" s="495"/>
      <c r="AG198" s="497"/>
      <c r="AH198" s="505"/>
      <c r="AI198" s="495"/>
      <c r="AJ198" s="497"/>
      <c r="AK198" s="505"/>
      <c r="AL198" s="495"/>
      <c r="AM198" s="497"/>
      <c r="AN198" s="505"/>
      <c r="AO198" s="495"/>
      <c r="AP198" s="497"/>
      <c r="AQ198" s="505"/>
      <c r="AR198" s="495"/>
      <c r="AS198" s="497"/>
      <c r="AT198" s="537"/>
      <c r="AU198" s="545"/>
    </row>
    <row r="199" spans="1:47" ht="15" customHeight="1">
      <c r="A199" s="526" t="s">
        <v>245</v>
      </c>
      <c r="B199" s="540" t="s">
        <v>314</v>
      </c>
      <c r="C199" s="528">
        <v>1271</v>
      </c>
      <c r="D199" s="530" t="s">
        <v>315</v>
      </c>
      <c r="E199" s="532" t="s">
        <v>316</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526"/>
      <c r="B200" s="540"/>
      <c r="C200" s="528"/>
      <c r="D200" s="530"/>
      <c r="E200" s="532"/>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526"/>
      <c r="B201" s="540"/>
      <c r="C201" s="528"/>
      <c r="D201" s="530"/>
      <c r="E201" s="532"/>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526"/>
      <c r="B202" s="540"/>
      <c r="C202" s="528"/>
      <c r="D202" s="530"/>
      <c r="E202" s="532"/>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8">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526"/>
      <c r="B203" s="540"/>
      <c r="C203" s="528"/>
      <c r="D203" s="530"/>
      <c r="E203" s="532"/>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526"/>
      <c r="B204" s="540"/>
      <c r="C204" s="528"/>
      <c r="D204" s="530"/>
      <c r="E204" s="532"/>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526"/>
      <c r="B205" s="540"/>
      <c r="C205" s="528"/>
      <c r="D205" s="530"/>
      <c r="E205" s="532"/>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526"/>
      <c r="B206" s="540"/>
      <c r="C206" s="528"/>
      <c r="D206" s="530"/>
      <c r="E206" s="532"/>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527"/>
      <c r="B207" s="541"/>
      <c r="C207" s="529"/>
      <c r="D207" s="531"/>
      <c r="E207" s="533"/>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538" t="s">
        <v>22</v>
      </c>
      <c r="B208" s="524" t="s">
        <v>18</v>
      </c>
      <c r="C208" s="524" t="s">
        <v>19</v>
      </c>
      <c r="D208" s="524" t="s">
        <v>203</v>
      </c>
      <c r="E208" s="524" t="s">
        <v>21</v>
      </c>
      <c r="F208" s="542" t="s">
        <v>23</v>
      </c>
      <c r="G208" s="504" t="s">
        <v>24</v>
      </c>
      <c r="H208" s="494" t="s">
        <v>25</v>
      </c>
      <c r="I208" s="496" t="s">
        <v>26</v>
      </c>
      <c r="J208" s="504" t="s">
        <v>24</v>
      </c>
      <c r="K208" s="494" t="s">
        <v>25</v>
      </c>
      <c r="L208" s="496" t="s">
        <v>26</v>
      </c>
      <c r="M208" s="504" t="s">
        <v>24</v>
      </c>
      <c r="N208" s="494" t="s">
        <v>25</v>
      </c>
      <c r="O208" s="496" t="s">
        <v>26</v>
      </c>
      <c r="P208" s="504" t="s">
        <v>24</v>
      </c>
      <c r="Q208" s="494" t="s">
        <v>25</v>
      </c>
      <c r="R208" s="496" t="s">
        <v>26</v>
      </c>
      <c r="S208" s="504" t="s">
        <v>24</v>
      </c>
      <c r="T208" s="494" t="s">
        <v>25</v>
      </c>
      <c r="U208" s="496" t="s">
        <v>26</v>
      </c>
      <c r="V208" s="504" t="s">
        <v>24</v>
      </c>
      <c r="W208" s="494" t="s">
        <v>25</v>
      </c>
      <c r="X208" s="534" t="s">
        <v>26</v>
      </c>
      <c r="Y208" s="504" t="s">
        <v>24</v>
      </c>
      <c r="Z208" s="494" t="s">
        <v>25</v>
      </c>
      <c r="AA208" s="496" t="s">
        <v>26</v>
      </c>
      <c r="AB208" s="504" t="s">
        <v>24</v>
      </c>
      <c r="AC208" s="494" t="s">
        <v>25</v>
      </c>
      <c r="AD208" s="496" t="s">
        <v>26</v>
      </c>
      <c r="AE208" s="504" t="s">
        <v>24</v>
      </c>
      <c r="AF208" s="494" t="s">
        <v>25</v>
      </c>
      <c r="AG208" s="496" t="s">
        <v>26</v>
      </c>
      <c r="AH208" s="504" t="s">
        <v>24</v>
      </c>
      <c r="AI208" s="494" t="s">
        <v>25</v>
      </c>
      <c r="AJ208" s="496" t="s">
        <v>26</v>
      </c>
      <c r="AK208" s="504" t="s">
        <v>24</v>
      </c>
      <c r="AL208" s="494" t="s">
        <v>25</v>
      </c>
      <c r="AM208" s="496" t="s">
        <v>26</v>
      </c>
      <c r="AN208" s="504" t="s">
        <v>24</v>
      </c>
      <c r="AO208" s="494" t="s">
        <v>25</v>
      </c>
      <c r="AP208" s="496" t="s">
        <v>26</v>
      </c>
      <c r="AQ208" s="504" t="s">
        <v>24</v>
      </c>
      <c r="AR208" s="494" t="s">
        <v>25</v>
      </c>
      <c r="AS208" s="496" t="s">
        <v>26</v>
      </c>
      <c r="AT208" s="536" t="s">
        <v>24</v>
      </c>
      <c r="AU208" s="544" t="s">
        <v>27</v>
      </c>
    </row>
    <row r="209" spans="1:47" ht="15" customHeight="1">
      <c r="A209" s="539"/>
      <c r="B209" s="525"/>
      <c r="C209" s="525"/>
      <c r="D209" s="525"/>
      <c r="E209" s="525"/>
      <c r="F209" s="543"/>
      <c r="G209" s="505"/>
      <c r="H209" s="495"/>
      <c r="I209" s="497"/>
      <c r="J209" s="505"/>
      <c r="K209" s="495"/>
      <c r="L209" s="497"/>
      <c r="M209" s="505"/>
      <c r="N209" s="495"/>
      <c r="O209" s="497"/>
      <c r="P209" s="505"/>
      <c r="Q209" s="495"/>
      <c r="R209" s="497"/>
      <c r="S209" s="505"/>
      <c r="T209" s="495"/>
      <c r="U209" s="497"/>
      <c r="V209" s="505"/>
      <c r="W209" s="495"/>
      <c r="X209" s="535"/>
      <c r="Y209" s="505"/>
      <c r="Z209" s="495"/>
      <c r="AA209" s="497"/>
      <c r="AB209" s="505"/>
      <c r="AC209" s="495"/>
      <c r="AD209" s="497"/>
      <c r="AE209" s="505"/>
      <c r="AF209" s="495"/>
      <c r="AG209" s="497"/>
      <c r="AH209" s="505"/>
      <c r="AI209" s="495"/>
      <c r="AJ209" s="497"/>
      <c r="AK209" s="505"/>
      <c r="AL209" s="495"/>
      <c r="AM209" s="497"/>
      <c r="AN209" s="505"/>
      <c r="AO209" s="495"/>
      <c r="AP209" s="497"/>
      <c r="AQ209" s="505"/>
      <c r="AR209" s="495"/>
      <c r="AS209" s="497"/>
      <c r="AT209" s="537"/>
      <c r="AU209" s="545"/>
    </row>
    <row r="210" spans="1:47" ht="15" customHeight="1">
      <c r="A210" s="526" t="s">
        <v>204</v>
      </c>
      <c r="B210" s="540" t="s">
        <v>317</v>
      </c>
      <c r="C210" s="528">
        <v>1662</v>
      </c>
      <c r="D210" s="530" t="s">
        <v>318</v>
      </c>
      <c r="E210" s="532" t="s">
        <v>319</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526"/>
      <c r="B211" s="540"/>
      <c r="C211" s="528"/>
      <c r="D211" s="530"/>
      <c r="E211" s="532"/>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526"/>
      <c r="B212" s="540"/>
      <c r="C212" s="528"/>
      <c r="D212" s="530"/>
      <c r="E212" s="532"/>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526"/>
      <c r="B213" s="540"/>
      <c r="C213" s="528"/>
      <c r="D213" s="530"/>
      <c r="E213" s="532"/>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526"/>
      <c r="B214" s="540"/>
      <c r="C214" s="528"/>
      <c r="D214" s="530"/>
      <c r="E214" s="532"/>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526"/>
      <c r="B215" s="540"/>
      <c r="C215" s="528"/>
      <c r="D215" s="530"/>
      <c r="E215" s="532"/>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526"/>
      <c r="B216" s="540"/>
      <c r="C216" s="528"/>
      <c r="D216" s="530"/>
      <c r="E216" s="532"/>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526"/>
      <c r="B217" s="540"/>
      <c r="C217" s="528"/>
      <c r="D217" s="530"/>
      <c r="E217" s="532"/>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527"/>
      <c r="B218" s="541"/>
      <c r="C218" s="529"/>
      <c r="D218" s="531"/>
      <c r="E218" s="533"/>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538" t="s">
        <v>22</v>
      </c>
      <c r="B219" s="524" t="s">
        <v>18</v>
      </c>
      <c r="C219" s="524" t="s">
        <v>19</v>
      </c>
      <c r="D219" s="524" t="s">
        <v>203</v>
      </c>
      <c r="E219" s="524" t="s">
        <v>21</v>
      </c>
      <c r="F219" s="542" t="s">
        <v>23</v>
      </c>
      <c r="G219" s="504" t="s">
        <v>24</v>
      </c>
      <c r="H219" s="494" t="s">
        <v>25</v>
      </c>
      <c r="I219" s="496" t="s">
        <v>26</v>
      </c>
      <c r="J219" s="504" t="s">
        <v>24</v>
      </c>
      <c r="K219" s="494" t="s">
        <v>25</v>
      </c>
      <c r="L219" s="496" t="s">
        <v>26</v>
      </c>
      <c r="M219" s="504" t="s">
        <v>24</v>
      </c>
      <c r="N219" s="494" t="s">
        <v>25</v>
      </c>
      <c r="O219" s="496" t="s">
        <v>26</v>
      </c>
      <c r="P219" s="504" t="s">
        <v>24</v>
      </c>
      <c r="Q219" s="494" t="s">
        <v>25</v>
      </c>
      <c r="R219" s="496" t="s">
        <v>26</v>
      </c>
      <c r="S219" s="504" t="s">
        <v>24</v>
      </c>
      <c r="T219" s="494" t="s">
        <v>25</v>
      </c>
      <c r="U219" s="496" t="s">
        <v>26</v>
      </c>
      <c r="V219" s="504" t="s">
        <v>24</v>
      </c>
      <c r="W219" s="494" t="s">
        <v>25</v>
      </c>
      <c r="X219" s="534" t="s">
        <v>26</v>
      </c>
      <c r="Y219" s="504" t="s">
        <v>24</v>
      </c>
      <c r="Z219" s="494" t="s">
        <v>25</v>
      </c>
      <c r="AA219" s="496" t="s">
        <v>26</v>
      </c>
      <c r="AB219" s="504" t="s">
        <v>24</v>
      </c>
      <c r="AC219" s="494" t="s">
        <v>25</v>
      </c>
      <c r="AD219" s="496" t="s">
        <v>26</v>
      </c>
      <c r="AE219" s="504" t="s">
        <v>24</v>
      </c>
      <c r="AF219" s="494" t="s">
        <v>25</v>
      </c>
      <c r="AG219" s="496" t="s">
        <v>26</v>
      </c>
      <c r="AH219" s="504" t="s">
        <v>24</v>
      </c>
      <c r="AI219" s="494" t="s">
        <v>25</v>
      </c>
      <c r="AJ219" s="496" t="s">
        <v>26</v>
      </c>
      <c r="AK219" s="504" t="s">
        <v>24</v>
      </c>
      <c r="AL219" s="494" t="s">
        <v>25</v>
      </c>
      <c r="AM219" s="496" t="s">
        <v>26</v>
      </c>
      <c r="AN219" s="504" t="s">
        <v>24</v>
      </c>
      <c r="AO219" s="494" t="s">
        <v>25</v>
      </c>
      <c r="AP219" s="496" t="s">
        <v>26</v>
      </c>
      <c r="AQ219" s="504" t="s">
        <v>24</v>
      </c>
      <c r="AR219" s="494" t="s">
        <v>25</v>
      </c>
      <c r="AS219" s="496" t="s">
        <v>26</v>
      </c>
      <c r="AT219" s="536" t="s">
        <v>24</v>
      </c>
      <c r="AU219" s="544" t="s">
        <v>27</v>
      </c>
    </row>
    <row r="220" spans="1:47" ht="25.5" customHeight="1">
      <c r="A220" s="539"/>
      <c r="B220" s="525"/>
      <c r="C220" s="525"/>
      <c r="D220" s="525"/>
      <c r="E220" s="525"/>
      <c r="F220" s="543"/>
      <c r="G220" s="505"/>
      <c r="H220" s="495"/>
      <c r="I220" s="497"/>
      <c r="J220" s="505"/>
      <c r="K220" s="495"/>
      <c r="L220" s="497"/>
      <c r="M220" s="505"/>
      <c r="N220" s="495"/>
      <c r="O220" s="497"/>
      <c r="P220" s="505"/>
      <c r="Q220" s="495"/>
      <c r="R220" s="497"/>
      <c r="S220" s="505"/>
      <c r="T220" s="495"/>
      <c r="U220" s="497"/>
      <c r="V220" s="505"/>
      <c r="W220" s="495"/>
      <c r="X220" s="535"/>
      <c r="Y220" s="505"/>
      <c r="Z220" s="495"/>
      <c r="AA220" s="497"/>
      <c r="AB220" s="505"/>
      <c r="AC220" s="495"/>
      <c r="AD220" s="497"/>
      <c r="AE220" s="505"/>
      <c r="AF220" s="495"/>
      <c r="AG220" s="497"/>
      <c r="AH220" s="505"/>
      <c r="AI220" s="495"/>
      <c r="AJ220" s="497"/>
      <c r="AK220" s="505"/>
      <c r="AL220" s="495"/>
      <c r="AM220" s="497"/>
      <c r="AN220" s="505"/>
      <c r="AO220" s="495"/>
      <c r="AP220" s="497"/>
      <c r="AQ220" s="505"/>
      <c r="AR220" s="495"/>
      <c r="AS220" s="497"/>
      <c r="AT220" s="537"/>
      <c r="AU220" s="545"/>
    </row>
    <row r="221" spans="1:47" ht="14.45" customHeight="1">
      <c r="A221" s="526" t="s">
        <v>204</v>
      </c>
      <c r="B221" s="540" t="s">
        <v>320</v>
      </c>
      <c r="C221" s="528">
        <v>1353</v>
      </c>
      <c r="D221" s="530" t="s">
        <v>86</v>
      </c>
      <c r="E221" s="532" t="s">
        <v>321</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526"/>
      <c r="B222" s="540"/>
      <c r="C222" s="528"/>
      <c r="D222" s="530"/>
      <c r="E222" s="532"/>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526"/>
      <c r="B223" s="540"/>
      <c r="C223" s="528"/>
      <c r="D223" s="530"/>
      <c r="E223" s="532"/>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526"/>
      <c r="B224" s="540"/>
      <c r="C224" s="528"/>
      <c r="D224" s="530"/>
      <c r="E224" s="532"/>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526"/>
      <c r="B225" s="540"/>
      <c r="C225" s="528"/>
      <c r="D225" s="530"/>
      <c r="E225" s="532"/>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526"/>
      <c r="B226" s="540"/>
      <c r="C226" s="528"/>
      <c r="D226" s="530"/>
      <c r="E226" s="532"/>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526"/>
      <c r="B227" s="540"/>
      <c r="C227" s="528"/>
      <c r="D227" s="530"/>
      <c r="E227" s="532"/>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526"/>
      <c r="B228" s="540"/>
      <c r="C228" s="528"/>
      <c r="D228" s="530"/>
      <c r="E228" s="532"/>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527"/>
      <c r="B229" s="541"/>
      <c r="C229" s="529"/>
      <c r="D229" s="531"/>
      <c r="E229" s="533"/>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538" t="s">
        <v>22</v>
      </c>
      <c r="B230" s="524" t="s">
        <v>18</v>
      </c>
      <c r="C230" s="524" t="s">
        <v>19</v>
      </c>
      <c r="D230" s="524" t="s">
        <v>203</v>
      </c>
      <c r="E230" s="524" t="s">
        <v>21</v>
      </c>
      <c r="F230" s="542" t="s">
        <v>23</v>
      </c>
      <c r="G230" s="504" t="s">
        <v>24</v>
      </c>
      <c r="H230" s="494" t="s">
        <v>25</v>
      </c>
      <c r="I230" s="496" t="s">
        <v>26</v>
      </c>
      <c r="J230" s="504" t="s">
        <v>24</v>
      </c>
      <c r="K230" s="494" t="s">
        <v>25</v>
      </c>
      <c r="L230" s="496" t="s">
        <v>26</v>
      </c>
      <c r="M230" s="504" t="s">
        <v>24</v>
      </c>
      <c r="N230" s="494" t="s">
        <v>25</v>
      </c>
      <c r="O230" s="496" t="s">
        <v>26</v>
      </c>
      <c r="P230" s="504" t="s">
        <v>24</v>
      </c>
      <c r="Q230" s="494" t="s">
        <v>25</v>
      </c>
      <c r="R230" s="496" t="s">
        <v>26</v>
      </c>
      <c r="S230" s="504" t="s">
        <v>24</v>
      </c>
      <c r="T230" s="494" t="s">
        <v>25</v>
      </c>
      <c r="U230" s="496" t="s">
        <v>26</v>
      </c>
      <c r="V230" s="504" t="s">
        <v>24</v>
      </c>
      <c r="W230" s="494" t="s">
        <v>25</v>
      </c>
      <c r="X230" s="534" t="s">
        <v>26</v>
      </c>
      <c r="Y230" s="504" t="s">
        <v>24</v>
      </c>
      <c r="Z230" s="494" t="s">
        <v>25</v>
      </c>
      <c r="AA230" s="496" t="s">
        <v>26</v>
      </c>
      <c r="AB230" s="504" t="s">
        <v>24</v>
      </c>
      <c r="AC230" s="494" t="s">
        <v>25</v>
      </c>
      <c r="AD230" s="496" t="s">
        <v>26</v>
      </c>
      <c r="AE230" s="504" t="s">
        <v>24</v>
      </c>
      <c r="AF230" s="494" t="s">
        <v>25</v>
      </c>
      <c r="AG230" s="496" t="s">
        <v>26</v>
      </c>
      <c r="AH230" s="504" t="s">
        <v>24</v>
      </c>
      <c r="AI230" s="494" t="s">
        <v>25</v>
      </c>
      <c r="AJ230" s="496" t="s">
        <v>26</v>
      </c>
      <c r="AK230" s="504" t="s">
        <v>24</v>
      </c>
      <c r="AL230" s="494" t="s">
        <v>25</v>
      </c>
      <c r="AM230" s="496" t="s">
        <v>26</v>
      </c>
      <c r="AN230" s="504" t="s">
        <v>24</v>
      </c>
      <c r="AO230" s="494" t="s">
        <v>25</v>
      </c>
      <c r="AP230" s="496" t="s">
        <v>26</v>
      </c>
      <c r="AQ230" s="504" t="s">
        <v>24</v>
      </c>
      <c r="AR230" s="494" t="s">
        <v>25</v>
      </c>
      <c r="AS230" s="496" t="s">
        <v>26</v>
      </c>
      <c r="AT230" s="536" t="s">
        <v>24</v>
      </c>
      <c r="AU230" s="544" t="s">
        <v>27</v>
      </c>
    </row>
    <row r="231" spans="1:47" ht="15" customHeight="1">
      <c r="A231" s="539"/>
      <c r="B231" s="525"/>
      <c r="C231" s="525"/>
      <c r="D231" s="525"/>
      <c r="E231" s="525"/>
      <c r="F231" s="543"/>
      <c r="G231" s="505"/>
      <c r="H231" s="495"/>
      <c r="I231" s="497"/>
      <c r="J231" s="505"/>
      <c r="K231" s="495"/>
      <c r="L231" s="497"/>
      <c r="M231" s="505"/>
      <c r="N231" s="495"/>
      <c r="O231" s="497"/>
      <c r="P231" s="505"/>
      <c r="Q231" s="495"/>
      <c r="R231" s="497"/>
      <c r="S231" s="505"/>
      <c r="T231" s="495"/>
      <c r="U231" s="497"/>
      <c r="V231" s="505"/>
      <c r="W231" s="495"/>
      <c r="X231" s="535"/>
      <c r="Y231" s="505"/>
      <c r="Z231" s="495"/>
      <c r="AA231" s="497"/>
      <c r="AB231" s="505"/>
      <c r="AC231" s="495"/>
      <c r="AD231" s="497"/>
      <c r="AE231" s="505"/>
      <c r="AF231" s="495"/>
      <c r="AG231" s="497"/>
      <c r="AH231" s="505"/>
      <c r="AI231" s="495"/>
      <c r="AJ231" s="497"/>
      <c r="AK231" s="505"/>
      <c r="AL231" s="495"/>
      <c r="AM231" s="497"/>
      <c r="AN231" s="505"/>
      <c r="AO231" s="495"/>
      <c r="AP231" s="497"/>
      <c r="AQ231" s="505"/>
      <c r="AR231" s="495"/>
      <c r="AS231" s="497"/>
      <c r="AT231" s="537"/>
      <c r="AU231" s="545"/>
    </row>
    <row r="232" spans="1:47" ht="15" customHeight="1">
      <c r="A232" s="526" t="s">
        <v>204</v>
      </c>
      <c r="B232" s="540" t="s">
        <v>322</v>
      </c>
      <c r="C232" s="528">
        <v>337</v>
      </c>
      <c r="D232" s="530" t="s">
        <v>323</v>
      </c>
      <c r="E232" s="532" t="s">
        <v>324</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526"/>
      <c r="B233" s="540"/>
      <c r="C233" s="528"/>
      <c r="D233" s="530"/>
      <c r="E233" s="532"/>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526"/>
      <c r="B234" s="540"/>
      <c r="C234" s="528"/>
      <c r="D234" s="530"/>
      <c r="E234" s="532"/>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526"/>
      <c r="B235" s="540"/>
      <c r="C235" s="528"/>
      <c r="D235" s="530"/>
      <c r="E235" s="532"/>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526"/>
      <c r="B236" s="540"/>
      <c r="C236" s="528"/>
      <c r="D236" s="530"/>
      <c r="E236" s="532"/>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526"/>
      <c r="B237" s="540"/>
      <c r="C237" s="528"/>
      <c r="D237" s="530"/>
      <c r="E237" s="532"/>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526"/>
      <c r="B238" s="540"/>
      <c r="C238" s="528"/>
      <c r="D238" s="530"/>
      <c r="E238" s="532"/>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59">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526"/>
      <c r="B239" s="540"/>
      <c r="C239" s="528"/>
      <c r="D239" s="530"/>
      <c r="E239" s="532"/>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527"/>
      <c r="B240" s="541"/>
      <c r="C240" s="529"/>
      <c r="D240" s="531"/>
      <c r="E240" s="533"/>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489" t="s">
        <v>22</v>
      </c>
      <c r="B241" s="491" t="s">
        <v>18</v>
      </c>
      <c r="C241" s="491" t="s">
        <v>19</v>
      </c>
      <c r="D241" s="491" t="s">
        <v>203</v>
      </c>
      <c r="E241" s="491" t="s">
        <v>21</v>
      </c>
      <c r="F241" s="550" t="s">
        <v>23</v>
      </c>
      <c r="G241" s="466" t="s">
        <v>24</v>
      </c>
      <c r="H241" s="468" t="s">
        <v>25</v>
      </c>
      <c r="I241" s="470" t="s">
        <v>26</v>
      </c>
      <c r="J241" s="466" t="s">
        <v>24</v>
      </c>
      <c r="K241" s="468" t="s">
        <v>25</v>
      </c>
      <c r="L241" s="470" t="s">
        <v>26</v>
      </c>
      <c r="M241" s="466" t="s">
        <v>24</v>
      </c>
      <c r="N241" s="468" t="s">
        <v>25</v>
      </c>
      <c r="O241" s="470" t="s">
        <v>26</v>
      </c>
      <c r="P241" s="466" t="s">
        <v>24</v>
      </c>
      <c r="Q241" s="468" t="s">
        <v>25</v>
      </c>
      <c r="R241" s="470" t="s">
        <v>26</v>
      </c>
      <c r="S241" s="466" t="s">
        <v>24</v>
      </c>
      <c r="T241" s="468" t="s">
        <v>25</v>
      </c>
      <c r="U241" s="470" t="s">
        <v>26</v>
      </c>
      <c r="V241" s="466" t="s">
        <v>24</v>
      </c>
      <c r="W241" s="468" t="s">
        <v>25</v>
      </c>
      <c r="X241" s="551" t="s">
        <v>26</v>
      </c>
      <c r="Y241" s="466" t="s">
        <v>24</v>
      </c>
      <c r="Z241" s="468" t="s">
        <v>25</v>
      </c>
      <c r="AA241" s="470" t="s">
        <v>26</v>
      </c>
      <c r="AB241" s="466" t="s">
        <v>24</v>
      </c>
      <c r="AC241" s="468" t="s">
        <v>25</v>
      </c>
      <c r="AD241" s="470" t="s">
        <v>26</v>
      </c>
      <c r="AE241" s="466" t="s">
        <v>24</v>
      </c>
      <c r="AF241" s="468" t="s">
        <v>25</v>
      </c>
      <c r="AG241" s="470" t="s">
        <v>26</v>
      </c>
      <c r="AH241" s="466" t="s">
        <v>24</v>
      </c>
      <c r="AI241" s="468" t="s">
        <v>25</v>
      </c>
      <c r="AJ241" s="470" t="s">
        <v>26</v>
      </c>
      <c r="AK241" s="466" t="s">
        <v>24</v>
      </c>
      <c r="AL241" s="468" t="s">
        <v>25</v>
      </c>
      <c r="AM241" s="470" t="s">
        <v>26</v>
      </c>
      <c r="AN241" s="466" t="s">
        <v>24</v>
      </c>
      <c r="AO241" s="468" t="s">
        <v>25</v>
      </c>
      <c r="AP241" s="470" t="s">
        <v>26</v>
      </c>
      <c r="AQ241" s="466" t="s">
        <v>24</v>
      </c>
      <c r="AR241" s="468" t="s">
        <v>25</v>
      </c>
      <c r="AS241" s="470" t="s">
        <v>26</v>
      </c>
      <c r="AT241" s="555" t="s">
        <v>24</v>
      </c>
      <c r="AU241" s="472" t="s">
        <v>27</v>
      </c>
    </row>
    <row r="242" spans="1:47" ht="15" customHeight="1">
      <c r="A242" s="539"/>
      <c r="B242" s="525"/>
      <c r="C242" s="525"/>
      <c r="D242" s="525"/>
      <c r="E242" s="525"/>
      <c r="F242" s="543"/>
      <c r="G242" s="505"/>
      <c r="H242" s="495"/>
      <c r="I242" s="497"/>
      <c r="J242" s="505"/>
      <c r="K242" s="495"/>
      <c r="L242" s="497"/>
      <c r="M242" s="505"/>
      <c r="N242" s="495"/>
      <c r="O242" s="497"/>
      <c r="P242" s="505"/>
      <c r="Q242" s="495"/>
      <c r="R242" s="497"/>
      <c r="S242" s="505"/>
      <c r="T242" s="495"/>
      <c r="U242" s="497"/>
      <c r="V242" s="505"/>
      <c r="W242" s="495"/>
      <c r="X242" s="535"/>
      <c r="Y242" s="505"/>
      <c r="Z242" s="495"/>
      <c r="AA242" s="497"/>
      <c r="AB242" s="505"/>
      <c r="AC242" s="495"/>
      <c r="AD242" s="497"/>
      <c r="AE242" s="505"/>
      <c r="AF242" s="495"/>
      <c r="AG242" s="497"/>
      <c r="AH242" s="505"/>
      <c r="AI242" s="495"/>
      <c r="AJ242" s="497"/>
      <c r="AK242" s="505"/>
      <c r="AL242" s="495"/>
      <c r="AM242" s="497"/>
      <c r="AN242" s="505"/>
      <c r="AO242" s="495"/>
      <c r="AP242" s="497"/>
      <c r="AQ242" s="505"/>
      <c r="AR242" s="495"/>
      <c r="AS242" s="497"/>
      <c r="AT242" s="537"/>
      <c r="AU242" s="545"/>
    </row>
    <row r="243" spans="1:47" ht="15" customHeight="1">
      <c r="A243" s="526" t="s">
        <v>208</v>
      </c>
      <c r="B243" s="540" t="s">
        <v>325</v>
      </c>
      <c r="C243" s="528">
        <v>2055</v>
      </c>
      <c r="D243" s="556"/>
      <c r="E243" s="532" t="s">
        <v>326</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526"/>
      <c r="B244" s="540"/>
      <c r="C244" s="528"/>
      <c r="D244" s="556"/>
      <c r="E244" s="532"/>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552">
        <f>SUM(G243:G254,J243:J254,M243:M254,P243:P254,S243:S254,AT243:AT254,V243:V254,Y243:Y254,AB243:AB254,AE243:AE254,AH243:AH254,AK243:AK254,AN243:AN254,AQ243:AQ254)</f>
        <v>0</v>
      </c>
    </row>
    <row r="245" spans="1:47" ht="15" customHeight="1">
      <c r="A245" s="526"/>
      <c r="B245" s="540"/>
      <c r="C245" s="528"/>
      <c r="D245" s="556"/>
      <c r="E245" s="532"/>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552"/>
    </row>
    <row r="246" spans="1:47" ht="15" customHeight="1">
      <c r="A246" s="526"/>
      <c r="B246" s="540"/>
      <c r="C246" s="528"/>
      <c r="D246" s="556"/>
      <c r="E246" s="532"/>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526"/>
      <c r="B247" s="540"/>
      <c r="C247" s="528"/>
      <c r="D247" s="556"/>
      <c r="E247" s="532"/>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552">
        <f>SUM(H243:H254,K243:K254,N243:N254,Q243:Q254,T243:T254,W243:W254,Z243:Z254,AC243:AC254,AF243:AF254,AI243:AI254,AL243:AL254,AO243:AO254,AR243:AR254)</f>
        <v>0</v>
      </c>
    </row>
    <row r="248" spans="1:47" ht="15" customHeight="1">
      <c r="A248" s="526"/>
      <c r="B248" s="540"/>
      <c r="C248" s="528"/>
      <c r="D248" s="556"/>
      <c r="E248" s="532"/>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553"/>
    </row>
    <row r="249" spans="1:47" ht="15" customHeight="1">
      <c r="A249" s="526"/>
      <c r="B249" s="540"/>
      <c r="C249" s="528"/>
      <c r="D249" s="556"/>
      <c r="E249" s="532"/>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526"/>
      <c r="B250" s="540"/>
      <c r="C250" s="528"/>
      <c r="D250" s="556"/>
      <c r="E250" s="532"/>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552">
        <f>SUM(I243:I254,L243:L254,O243:O254,R243:R254,U243:U254,X243:X254,AA243:AA254,AD243:AD254,AG243:AG254,AJ243:AJ254,AM243:AM254,AP243:AP254,AS243:AS254)</f>
        <v>0</v>
      </c>
    </row>
    <row r="251" spans="1:47" ht="15" customHeight="1">
      <c r="A251" s="526"/>
      <c r="B251" s="540"/>
      <c r="C251" s="528"/>
      <c r="D251" s="556"/>
      <c r="E251" s="532"/>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552"/>
    </row>
    <row r="252" spans="1:47" ht="15" customHeight="1">
      <c r="A252" s="526"/>
      <c r="B252" s="540"/>
      <c r="C252" s="528"/>
      <c r="D252" s="556"/>
      <c r="E252" s="532"/>
      <c r="F252" s="91" t="s">
        <v>311</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526"/>
      <c r="B253" s="540"/>
      <c r="C253" s="528"/>
      <c r="D253" s="556"/>
      <c r="E253" s="532"/>
      <c r="F253" s="91" t="s">
        <v>312</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554" t="e">
        <f>AU250/AU244</f>
        <v>#DIV/0!</v>
      </c>
    </row>
    <row r="254" spans="1:47" ht="15" customHeight="1">
      <c r="A254" s="526"/>
      <c r="B254" s="540"/>
      <c r="C254" s="528"/>
      <c r="D254" s="556"/>
      <c r="E254" s="532"/>
      <c r="F254" s="91" t="s">
        <v>313</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554"/>
    </row>
    <row r="255" spans="1:47" ht="15" customHeight="1">
      <c r="A255" s="539" t="s">
        <v>22</v>
      </c>
      <c r="B255" s="525" t="s">
        <v>18</v>
      </c>
      <c r="C255" s="525" t="s">
        <v>19</v>
      </c>
      <c r="D255" s="525" t="s">
        <v>203</v>
      </c>
      <c r="E255" s="525" t="s">
        <v>21</v>
      </c>
      <c r="F255" s="543" t="s">
        <v>23</v>
      </c>
      <c r="G255" s="505" t="s">
        <v>24</v>
      </c>
      <c r="H255" s="495" t="s">
        <v>25</v>
      </c>
      <c r="I255" s="497" t="s">
        <v>26</v>
      </c>
      <c r="J255" s="505" t="s">
        <v>24</v>
      </c>
      <c r="K255" s="495" t="s">
        <v>25</v>
      </c>
      <c r="L255" s="497" t="s">
        <v>26</v>
      </c>
      <c r="M255" s="505" t="s">
        <v>24</v>
      </c>
      <c r="N255" s="495" t="s">
        <v>25</v>
      </c>
      <c r="O255" s="497" t="s">
        <v>26</v>
      </c>
      <c r="P255" s="505" t="s">
        <v>24</v>
      </c>
      <c r="Q255" s="495" t="s">
        <v>25</v>
      </c>
      <c r="R255" s="497" t="s">
        <v>26</v>
      </c>
      <c r="S255" s="505" t="s">
        <v>24</v>
      </c>
      <c r="T255" s="495" t="s">
        <v>25</v>
      </c>
      <c r="U255" s="497" t="s">
        <v>26</v>
      </c>
      <c r="V255" s="505" t="s">
        <v>24</v>
      </c>
      <c r="W255" s="495" t="s">
        <v>25</v>
      </c>
      <c r="X255" s="535" t="s">
        <v>26</v>
      </c>
      <c r="Y255" s="505" t="s">
        <v>24</v>
      </c>
      <c r="Z255" s="495" t="s">
        <v>25</v>
      </c>
      <c r="AA255" s="497" t="s">
        <v>26</v>
      </c>
      <c r="AB255" s="505" t="s">
        <v>24</v>
      </c>
      <c r="AC255" s="495" t="s">
        <v>25</v>
      </c>
      <c r="AD255" s="497" t="s">
        <v>26</v>
      </c>
      <c r="AE255" s="505" t="s">
        <v>24</v>
      </c>
      <c r="AF255" s="495" t="s">
        <v>25</v>
      </c>
      <c r="AG255" s="497" t="s">
        <v>26</v>
      </c>
      <c r="AH255" s="505" t="s">
        <v>24</v>
      </c>
      <c r="AI255" s="495" t="s">
        <v>25</v>
      </c>
      <c r="AJ255" s="497" t="s">
        <v>26</v>
      </c>
      <c r="AK255" s="505" t="s">
        <v>24</v>
      </c>
      <c r="AL255" s="495" t="s">
        <v>25</v>
      </c>
      <c r="AM255" s="497" t="s">
        <v>26</v>
      </c>
      <c r="AN255" s="505" t="s">
        <v>24</v>
      </c>
      <c r="AO255" s="495" t="s">
        <v>25</v>
      </c>
      <c r="AP255" s="497" t="s">
        <v>26</v>
      </c>
      <c r="AQ255" s="505" t="s">
        <v>24</v>
      </c>
      <c r="AR255" s="495" t="s">
        <v>25</v>
      </c>
      <c r="AS255" s="497" t="s">
        <v>26</v>
      </c>
      <c r="AT255" s="537" t="s">
        <v>24</v>
      </c>
      <c r="AU255" s="545" t="s">
        <v>27</v>
      </c>
    </row>
    <row r="256" spans="1:47" ht="15" customHeight="1">
      <c r="A256" s="539"/>
      <c r="B256" s="525"/>
      <c r="C256" s="525"/>
      <c r="D256" s="525"/>
      <c r="E256" s="525"/>
      <c r="F256" s="543"/>
      <c r="G256" s="505"/>
      <c r="H256" s="495"/>
      <c r="I256" s="497"/>
      <c r="J256" s="505"/>
      <c r="K256" s="495"/>
      <c r="L256" s="497"/>
      <c r="M256" s="505"/>
      <c r="N256" s="495"/>
      <c r="O256" s="497"/>
      <c r="P256" s="505"/>
      <c r="Q256" s="495"/>
      <c r="R256" s="497"/>
      <c r="S256" s="505"/>
      <c r="T256" s="495"/>
      <c r="U256" s="497"/>
      <c r="V256" s="505"/>
      <c r="W256" s="495"/>
      <c r="X256" s="535"/>
      <c r="Y256" s="505"/>
      <c r="Z256" s="495"/>
      <c r="AA256" s="497"/>
      <c r="AB256" s="505"/>
      <c r="AC256" s="495"/>
      <c r="AD256" s="497"/>
      <c r="AE256" s="505"/>
      <c r="AF256" s="495"/>
      <c r="AG256" s="497"/>
      <c r="AH256" s="505"/>
      <c r="AI256" s="495"/>
      <c r="AJ256" s="497"/>
      <c r="AK256" s="505"/>
      <c r="AL256" s="495"/>
      <c r="AM256" s="497"/>
      <c r="AN256" s="505"/>
      <c r="AO256" s="495"/>
      <c r="AP256" s="497"/>
      <c r="AQ256" s="505"/>
      <c r="AR256" s="495"/>
      <c r="AS256" s="497"/>
      <c r="AT256" s="537"/>
      <c r="AU256" s="545"/>
    </row>
    <row r="257" spans="1:47" ht="15" customHeight="1">
      <c r="A257" s="526" t="s">
        <v>327</v>
      </c>
      <c r="B257" s="540" t="s">
        <v>328</v>
      </c>
      <c r="C257" s="528">
        <v>1192</v>
      </c>
      <c r="D257" s="530" t="s">
        <v>329</v>
      </c>
      <c r="E257" s="532" t="s">
        <v>330</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526"/>
      <c r="B258" s="540"/>
      <c r="C258" s="528"/>
      <c r="D258" s="530"/>
      <c r="E258" s="532"/>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526"/>
      <c r="B259" s="540"/>
      <c r="C259" s="528"/>
      <c r="D259" s="530"/>
      <c r="E259" s="532"/>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526"/>
      <c r="B260" s="540"/>
      <c r="C260" s="528"/>
      <c r="D260" s="530"/>
      <c r="E260" s="532"/>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526"/>
      <c r="B261" s="540"/>
      <c r="C261" s="528"/>
      <c r="D261" s="530"/>
      <c r="E261" s="532"/>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526"/>
      <c r="B262" s="540"/>
      <c r="C262" s="528"/>
      <c r="D262" s="530"/>
      <c r="E262" s="532"/>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526"/>
      <c r="B263" s="540"/>
      <c r="C263" s="528"/>
      <c r="D263" s="530"/>
      <c r="E263" s="532"/>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526"/>
      <c r="B264" s="540"/>
      <c r="C264" s="528"/>
      <c r="D264" s="530"/>
      <c r="E264" s="532"/>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473"/>
      <c r="B265" s="476"/>
      <c r="C265" s="479"/>
      <c r="D265" s="482"/>
      <c r="E265" s="485"/>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538" t="s">
        <v>22</v>
      </c>
      <c r="B266" s="524" t="s">
        <v>18</v>
      </c>
      <c r="C266" s="524" t="s">
        <v>19</v>
      </c>
      <c r="D266" s="524" t="s">
        <v>203</v>
      </c>
      <c r="E266" s="524" t="s">
        <v>21</v>
      </c>
      <c r="F266" s="542" t="s">
        <v>23</v>
      </c>
      <c r="G266" s="506" t="s">
        <v>24</v>
      </c>
      <c r="H266" s="494" t="s">
        <v>25</v>
      </c>
      <c r="I266" s="496" t="s">
        <v>26</v>
      </c>
      <c r="J266" s="504" t="s">
        <v>24</v>
      </c>
      <c r="K266" s="494" t="s">
        <v>25</v>
      </c>
      <c r="L266" s="496" t="s">
        <v>26</v>
      </c>
      <c r="M266" s="504" t="s">
        <v>24</v>
      </c>
      <c r="N266" s="494" t="s">
        <v>25</v>
      </c>
      <c r="O266" s="496" t="s">
        <v>26</v>
      </c>
      <c r="P266" s="504" t="s">
        <v>24</v>
      </c>
      <c r="Q266" s="494" t="s">
        <v>25</v>
      </c>
      <c r="R266" s="496" t="s">
        <v>26</v>
      </c>
      <c r="S266" s="504" t="s">
        <v>24</v>
      </c>
      <c r="T266" s="494" t="s">
        <v>25</v>
      </c>
      <c r="U266" s="496" t="s">
        <v>26</v>
      </c>
      <c r="V266" s="504" t="s">
        <v>24</v>
      </c>
      <c r="W266" s="494" t="s">
        <v>25</v>
      </c>
      <c r="X266" s="534" t="s">
        <v>26</v>
      </c>
      <c r="Y266" s="504" t="s">
        <v>24</v>
      </c>
      <c r="Z266" s="494" t="s">
        <v>25</v>
      </c>
      <c r="AA266" s="496" t="s">
        <v>26</v>
      </c>
      <c r="AB266" s="504" t="s">
        <v>24</v>
      </c>
      <c r="AC266" s="494" t="s">
        <v>25</v>
      </c>
      <c r="AD266" s="496" t="s">
        <v>26</v>
      </c>
      <c r="AE266" s="504" t="s">
        <v>24</v>
      </c>
      <c r="AF266" s="494" t="s">
        <v>25</v>
      </c>
      <c r="AG266" s="496" t="s">
        <v>26</v>
      </c>
      <c r="AH266" s="504" t="s">
        <v>24</v>
      </c>
      <c r="AI266" s="494" t="s">
        <v>25</v>
      </c>
      <c r="AJ266" s="496" t="s">
        <v>26</v>
      </c>
      <c r="AK266" s="504" t="s">
        <v>24</v>
      </c>
      <c r="AL266" s="494" t="s">
        <v>25</v>
      </c>
      <c r="AM266" s="496" t="s">
        <v>26</v>
      </c>
      <c r="AN266" s="504" t="s">
        <v>24</v>
      </c>
      <c r="AO266" s="494" t="s">
        <v>25</v>
      </c>
      <c r="AP266" s="496" t="s">
        <v>26</v>
      </c>
      <c r="AQ266" s="504" t="s">
        <v>24</v>
      </c>
      <c r="AR266" s="494" t="s">
        <v>25</v>
      </c>
      <c r="AS266" s="496" t="s">
        <v>26</v>
      </c>
      <c r="AT266" s="536" t="s">
        <v>24</v>
      </c>
      <c r="AU266" s="544" t="s">
        <v>27</v>
      </c>
    </row>
    <row r="267" spans="1:47" ht="15" customHeight="1">
      <c r="A267" s="539"/>
      <c r="B267" s="525"/>
      <c r="C267" s="525"/>
      <c r="D267" s="525"/>
      <c r="E267" s="525"/>
      <c r="F267" s="543"/>
      <c r="G267" s="507"/>
      <c r="H267" s="495"/>
      <c r="I267" s="497"/>
      <c r="J267" s="505"/>
      <c r="K267" s="495"/>
      <c r="L267" s="497"/>
      <c r="M267" s="505"/>
      <c r="N267" s="495"/>
      <c r="O267" s="497"/>
      <c r="P267" s="505"/>
      <c r="Q267" s="495"/>
      <c r="R267" s="497"/>
      <c r="S267" s="505"/>
      <c r="T267" s="495"/>
      <c r="U267" s="497"/>
      <c r="V267" s="505"/>
      <c r="W267" s="495"/>
      <c r="X267" s="535"/>
      <c r="Y267" s="505"/>
      <c r="Z267" s="495"/>
      <c r="AA267" s="497"/>
      <c r="AB267" s="505"/>
      <c r="AC267" s="495"/>
      <c r="AD267" s="497"/>
      <c r="AE267" s="505"/>
      <c r="AF267" s="495"/>
      <c r="AG267" s="497"/>
      <c r="AH267" s="505"/>
      <c r="AI267" s="495"/>
      <c r="AJ267" s="497"/>
      <c r="AK267" s="505"/>
      <c r="AL267" s="495"/>
      <c r="AM267" s="497"/>
      <c r="AN267" s="505"/>
      <c r="AO267" s="495"/>
      <c r="AP267" s="497"/>
      <c r="AQ267" s="505"/>
      <c r="AR267" s="495"/>
      <c r="AS267" s="497"/>
      <c r="AT267" s="537"/>
      <c r="AU267" s="545"/>
    </row>
    <row r="268" spans="1:47" ht="15" customHeight="1">
      <c r="A268" s="526" t="s">
        <v>204</v>
      </c>
      <c r="B268" s="540" t="s">
        <v>331</v>
      </c>
      <c r="C268" s="528">
        <v>2239</v>
      </c>
      <c r="D268" s="556" t="s">
        <v>332</v>
      </c>
      <c r="E268" s="532" t="s">
        <v>333</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526"/>
      <c r="B269" s="540"/>
      <c r="C269" s="528"/>
      <c r="D269" s="556"/>
      <c r="E269" s="532"/>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526"/>
      <c r="B270" s="540"/>
      <c r="C270" s="528"/>
      <c r="D270" s="556"/>
      <c r="E270" s="532"/>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526"/>
      <c r="B271" s="540"/>
      <c r="C271" s="528"/>
      <c r="D271" s="556"/>
      <c r="E271" s="532"/>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526"/>
      <c r="B272" s="540"/>
      <c r="C272" s="528"/>
      <c r="D272" s="556"/>
      <c r="E272" s="532"/>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526"/>
      <c r="B273" s="540"/>
      <c r="C273" s="528"/>
      <c r="D273" s="556"/>
      <c r="E273" s="532"/>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526"/>
      <c r="B274" s="540"/>
      <c r="C274" s="528"/>
      <c r="D274" s="556"/>
      <c r="E274" s="532"/>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526"/>
      <c r="B275" s="540"/>
      <c r="C275" s="528"/>
      <c r="D275" s="556"/>
      <c r="E275" s="532"/>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527"/>
      <c r="B276" s="541"/>
      <c r="C276" s="529"/>
      <c r="D276" s="559"/>
      <c r="E276" s="533"/>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489" t="s">
        <v>22</v>
      </c>
      <c r="B277" s="491" t="s">
        <v>18</v>
      </c>
      <c r="C277" s="491" t="s">
        <v>19</v>
      </c>
      <c r="D277" s="491" t="s">
        <v>203</v>
      </c>
      <c r="E277" s="491" t="s">
        <v>21</v>
      </c>
      <c r="F277" s="550" t="s">
        <v>23</v>
      </c>
      <c r="G277" s="466" t="s">
        <v>24</v>
      </c>
      <c r="H277" s="468" t="s">
        <v>25</v>
      </c>
      <c r="I277" s="470" t="s">
        <v>26</v>
      </c>
      <c r="J277" s="466" t="s">
        <v>24</v>
      </c>
      <c r="K277" s="468" t="s">
        <v>25</v>
      </c>
      <c r="L277" s="470" t="s">
        <v>26</v>
      </c>
      <c r="M277" s="466" t="s">
        <v>24</v>
      </c>
      <c r="N277" s="468" t="s">
        <v>25</v>
      </c>
      <c r="O277" s="470" t="s">
        <v>26</v>
      </c>
      <c r="P277" s="466" t="s">
        <v>24</v>
      </c>
      <c r="Q277" s="468" t="s">
        <v>25</v>
      </c>
      <c r="R277" s="470" t="s">
        <v>26</v>
      </c>
      <c r="S277" s="466" t="s">
        <v>24</v>
      </c>
      <c r="T277" s="468" t="s">
        <v>25</v>
      </c>
      <c r="U277" s="470" t="s">
        <v>26</v>
      </c>
      <c r="V277" s="466" t="s">
        <v>24</v>
      </c>
      <c r="W277" s="468" t="s">
        <v>25</v>
      </c>
      <c r="X277" s="551" t="s">
        <v>26</v>
      </c>
      <c r="Y277" s="466" t="s">
        <v>24</v>
      </c>
      <c r="Z277" s="468" t="s">
        <v>25</v>
      </c>
      <c r="AA277" s="470" t="s">
        <v>26</v>
      </c>
      <c r="AB277" s="466" t="s">
        <v>24</v>
      </c>
      <c r="AC277" s="468" t="s">
        <v>25</v>
      </c>
      <c r="AD277" s="470" t="s">
        <v>26</v>
      </c>
      <c r="AE277" s="466" t="s">
        <v>24</v>
      </c>
      <c r="AF277" s="468" t="s">
        <v>25</v>
      </c>
      <c r="AG277" s="470" t="s">
        <v>26</v>
      </c>
      <c r="AH277" s="466" t="s">
        <v>24</v>
      </c>
      <c r="AI277" s="468" t="s">
        <v>25</v>
      </c>
      <c r="AJ277" s="470" t="s">
        <v>26</v>
      </c>
      <c r="AK277" s="466" t="s">
        <v>24</v>
      </c>
      <c r="AL277" s="468" t="s">
        <v>25</v>
      </c>
      <c r="AM277" s="470" t="s">
        <v>26</v>
      </c>
      <c r="AN277" s="466" t="s">
        <v>24</v>
      </c>
      <c r="AO277" s="468" t="s">
        <v>25</v>
      </c>
      <c r="AP277" s="470" t="s">
        <v>26</v>
      </c>
      <c r="AQ277" s="466" t="s">
        <v>24</v>
      </c>
      <c r="AR277" s="468" t="s">
        <v>25</v>
      </c>
      <c r="AS277" s="470" t="s">
        <v>26</v>
      </c>
      <c r="AT277" s="555" t="s">
        <v>24</v>
      </c>
      <c r="AU277" s="472" t="s">
        <v>27</v>
      </c>
    </row>
    <row r="278" spans="1:47" ht="15" customHeight="1">
      <c r="A278" s="539"/>
      <c r="B278" s="525"/>
      <c r="C278" s="525"/>
      <c r="D278" s="525"/>
      <c r="E278" s="525"/>
      <c r="F278" s="543"/>
      <c r="G278" s="505"/>
      <c r="H278" s="495"/>
      <c r="I278" s="497"/>
      <c r="J278" s="505"/>
      <c r="K278" s="495"/>
      <c r="L278" s="497"/>
      <c r="M278" s="505"/>
      <c r="N278" s="495"/>
      <c r="O278" s="497"/>
      <c r="P278" s="505"/>
      <c r="Q278" s="495"/>
      <c r="R278" s="497"/>
      <c r="S278" s="505"/>
      <c r="T278" s="495"/>
      <c r="U278" s="497"/>
      <c r="V278" s="505"/>
      <c r="W278" s="495"/>
      <c r="X278" s="535"/>
      <c r="Y278" s="505"/>
      <c r="Z278" s="495"/>
      <c r="AA278" s="497"/>
      <c r="AB278" s="505"/>
      <c r="AC278" s="495"/>
      <c r="AD278" s="497"/>
      <c r="AE278" s="505"/>
      <c r="AF278" s="495"/>
      <c r="AG278" s="497"/>
      <c r="AH278" s="505"/>
      <c r="AI278" s="495"/>
      <c r="AJ278" s="497"/>
      <c r="AK278" s="505"/>
      <c r="AL278" s="495"/>
      <c r="AM278" s="497"/>
      <c r="AN278" s="505"/>
      <c r="AO278" s="495"/>
      <c r="AP278" s="497"/>
      <c r="AQ278" s="505"/>
      <c r="AR278" s="495"/>
      <c r="AS278" s="497"/>
      <c r="AT278" s="537"/>
      <c r="AU278" s="545"/>
    </row>
    <row r="279" spans="1:47" ht="15" customHeight="1">
      <c r="A279" s="526" t="s">
        <v>334</v>
      </c>
      <c r="B279" s="540" t="s">
        <v>335</v>
      </c>
      <c r="C279" s="528">
        <v>1987</v>
      </c>
      <c r="D279" s="556" t="s">
        <v>336</v>
      </c>
      <c r="E279" s="532" t="s">
        <v>337</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526"/>
      <c r="B280" s="540"/>
      <c r="C280" s="528"/>
      <c r="D280" s="556"/>
      <c r="E280" s="532"/>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526"/>
      <c r="B281" s="540"/>
      <c r="C281" s="528"/>
      <c r="D281" s="556"/>
      <c r="E281" s="532"/>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526"/>
      <c r="B282" s="540"/>
      <c r="C282" s="528"/>
      <c r="D282" s="556"/>
      <c r="E282" s="532"/>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526"/>
      <c r="B283" s="540"/>
      <c r="C283" s="528"/>
      <c r="D283" s="556"/>
      <c r="E283" s="532"/>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526"/>
      <c r="B284" s="540"/>
      <c r="C284" s="528"/>
      <c r="D284" s="556"/>
      <c r="E284" s="532"/>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526"/>
      <c r="B285" s="540"/>
      <c r="C285" s="528"/>
      <c r="D285" s="556"/>
      <c r="E285" s="532"/>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526"/>
      <c r="B286" s="540"/>
      <c r="C286" s="528"/>
      <c r="D286" s="556"/>
      <c r="E286" s="532"/>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473"/>
      <c r="B287" s="476"/>
      <c r="C287" s="479"/>
      <c r="D287" s="562"/>
      <c r="E287" s="485"/>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538" t="s">
        <v>22</v>
      </c>
      <c r="B288" s="524" t="s">
        <v>18</v>
      </c>
      <c r="C288" s="524" t="s">
        <v>19</v>
      </c>
      <c r="D288" s="524" t="s">
        <v>203</v>
      </c>
      <c r="E288" s="524" t="s">
        <v>21</v>
      </c>
      <c r="F288" s="542" t="s">
        <v>23</v>
      </c>
      <c r="G288" s="504" t="s">
        <v>24</v>
      </c>
      <c r="H288" s="494" t="s">
        <v>25</v>
      </c>
      <c r="I288" s="496" t="s">
        <v>26</v>
      </c>
      <c r="J288" s="504" t="s">
        <v>24</v>
      </c>
      <c r="K288" s="494" t="s">
        <v>25</v>
      </c>
      <c r="L288" s="496" t="s">
        <v>26</v>
      </c>
      <c r="M288" s="504" t="s">
        <v>24</v>
      </c>
      <c r="N288" s="494" t="s">
        <v>25</v>
      </c>
      <c r="O288" s="496" t="s">
        <v>26</v>
      </c>
      <c r="P288" s="504" t="s">
        <v>24</v>
      </c>
      <c r="Q288" s="494" t="s">
        <v>25</v>
      </c>
      <c r="R288" s="496" t="s">
        <v>26</v>
      </c>
      <c r="S288" s="504" t="s">
        <v>24</v>
      </c>
      <c r="T288" s="494" t="s">
        <v>25</v>
      </c>
      <c r="U288" s="496" t="s">
        <v>26</v>
      </c>
      <c r="V288" s="504" t="s">
        <v>24</v>
      </c>
      <c r="W288" s="494" t="s">
        <v>25</v>
      </c>
      <c r="X288" s="534" t="s">
        <v>26</v>
      </c>
      <c r="Y288" s="504" t="s">
        <v>24</v>
      </c>
      <c r="Z288" s="494" t="s">
        <v>25</v>
      </c>
      <c r="AA288" s="496" t="s">
        <v>26</v>
      </c>
      <c r="AB288" s="504" t="s">
        <v>24</v>
      </c>
      <c r="AC288" s="494" t="s">
        <v>25</v>
      </c>
      <c r="AD288" s="496" t="s">
        <v>26</v>
      </c>
      <c r="AE288" s="504" t="s">
        <v>24</v>
      </c>
      <c r="AF288" s="494" t="s">
        <v>25</v>
      </c>
      <c r="AG288" s="496" t="s">
        <v>26</v>
      </c>
      <c r="AH288" s="504" t="s">
        <v>24</v>
      </c>
      <c r="AI288" s="494" t="s">
        <v>25</v>
      </c>
      <c r="AJ288" s="496" t="s">
        <v>26</v>
      </c>
      <c r="AK288" s="504" t="s">
        <v>24</v>
      </c>
      <c r="AL288" s="494" t="s">
        <v>25</v>
      </c>
      <c r="AM288" s="496" t="s">
        <v>26</v>
      </c>
      <c r="AN288" s="504" t="s">
        <v>24</v>
      </c>
      <c r="AO288" s="494" t="s">
        <v>25</v>
      </c>
      <c r="AP288" s="496" t="s">
        <v>26</v>
      </c>
      <c r="AQ288" s="504" t="s">
        <v>24</v>
      </c>
      <c r="AR288" s="494" t="s">
        <v>25</v>
      </c>
      <c r="AS288" s="496" t="s">
        <v>26</v>
      </c>
      <c r="AT288" s="536" t="s">
        <v>24</v>
      </c>
      <c r="AU288" s="544" t="s">
        <v>27</v>
      </c>
    </row>
    <row r="289" spans="1:47" ht="15" customHeight="1">
      <c r="A289" s="539"/>
      <c r="B289" s="525"/>
      <c r="C289" s="525"/>
      <c r="D289" s="525"/>
      <c r="E289" s="525"/>
      <c r="F289" s="543"/>
      <c r="G289" s="505"/>
      <c r="H289" s="495"/>
      <c r="I289" s="497"/>
      <c r="J289" s="505"/>
      <c r="K289" s="495"/>
      <c r="L289" s="497"/>
      <c r="M289" s="505"/>
      <c r="N289" s="495"/>
      <c r="O289" s="497"/>
      <c r="P289" s="505"/>
      <c r="Q289" s="495"/>
      <c r="R289" s="497"/>
      <c r="S289" s="505"/>
      <c r="T289" s="495"/>
      <c r="U289" s="497"/>
      <c r="V289" s="505"/>
      <c r="W289" s="495"/>
      <c r="X289" s="535"/>
      <c r="Y289" s="505"/>
      <c r="Z289" s="495"/>
      <c r="AA289" s="497"/>
      <c r="AB289" s="505"/>
      <c r="AC289" s="495"/>
      <c r="AD289" s="497"/>
      <c r="AE289" s="505"/>
      <c r="AF289" s="495"/>
      <c r="AG289" s="497"/>
      <c r="AH289" s="505"/>
      <c r="AI289" s="495"/>
      <c r="AJ289" s="497"/>
      <c r="AK289" s="505"/>
      <c r="AL289" s="495"/>
      <c r="AM289" s="497"/>
      <c r="AN289" s="505"/>
      <c r="AO289" s="495"/>
      <c r="AP289" s="497"/>
      <c r="AQ289" s="505"/>
      <c r="AR289" s="495"/>
      <c r="AS289" s="497"/>
      <c r="AT289" s="537"/>
      <c r="AU289" s="545"/>
    </row>
    <row r="290" spans="1:47" ht="15" customHeight="1">
      <c r="A290" s="526" t="s">
        <v>204</v>
      </c>
      <c r="B290" s="540" t="s">
        <v>338</v>
      </c>
      <c r="C290" s="528">
        <v>223</v>
      </c>
      <c r="D290" s="530" t="s">
        <v>339</v>
      </c>
      <c r="E290" s="532" t="s">
        <v>340</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526"/>
      <c r="B291" s="540"/>
      <c r="C291" s="528"/>
      <c r="D291" s="530"/>
      <c r="E291" s="532"/>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526"/>
      <c r="B292" s="540"/>
      <c r="C292" s="528"/>
      <c r="D292" s="530"/>
      <c r="E292" s="532"/>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526"/>
      <c r="B293" s="540"/>
      <c r="C293" s="528"/>
      <c r="D293" s="530"/>
      <c r="E293" s="532"/>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526"/>
      <c r="B294" s="540"/>
      <c r="C294" s="528"/>
      <c r="D294" s="530"/>
      <c r="E294" s="532"/>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526"/>
      <c r="B295" s="540"/>
      <c r="C295" s="528"/>
      <c r="D295" s="530"/>
      <c r="E295" s="532"/>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526"/>
      <c r="B296" s="540"/>
      <c r="C296" s="528"/>
      <c r="D296" s="530"/>
      <c r="E296" s="532"/>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526"/>
      <c r="B297" s="540"/>
      <c r="C297" s="528"/>
      <c r="D297" s="530"/>
      <c r="E297" s="532"/>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527"/>
      <c r="B298" s="541"/>
      <c r="C298" s="529"/>
      <c r="D298" s="531"/>
      <c r="E298" s="533"/>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489" t="s">
        <v>22</v>
      </c>
      <c r="B299" s="491" t="s">
        <v>18</v>
      </c>
      <c r="C299" s="491" t="s">
        <v>19</v>
      </c>
      <c r="D299" s="491" t="s">
        <v>203</v>
      </c>
      <c r="E299" s="491" t="s">
        <v>21</v>
      </c>
      <c r="F299" s="550" t="s">
        <v>23</v>
      </c>
      <c r="G299" s="466" t="s">
        <v>24</v>
      </c>
      <c r="H299" s="468" t="s">
        <v>25</v>
      </c>
      <c r="I299" s="470" t="s">
        <v>26</v>
      </c>
      <c r="J299" s="466" t="s">
        <v>24</v>
      </c>
      <c r="K299" s="468" t="s">
        <v>25</v>
      </c>
      <c r="L299" s="470" t="s">
        <v>26</v>
      </c>
      <c r="M299" s="466" t="s">
        <v>24</v>
      </c>
      <c r="N299" s="468" t="s">
        <v>25</v>
      </c>
      <c r="O299" s="470" t="s">
        <v>26</v>
      </c>
      <c r="P299" s="466" t="s">
        <v>24</v>
      </c>
      <c r="Q299" s="468" t="s">
        <v>25</v>
      </c>
      <c r="R299" s="470" t="s">
        <v>26</v>
      </c>
      <c r="S299" s="466" t="s">
        <v>24</v>
      </c>
      <c r="T299" s="468" t="s">
        <v>25</v>
      </c>
      <c r="U299" s="470" t="s">
        <v>26</v>
      </c>
      <c r="V299" s="466" t="s">
        <v>24</v>
      </c>
      <c r="W299" s="468" t="s">
        <v>25</v>
      </c>
      <c r="X299" s="551" t="s">
        <v>26</v>
      </c>
      <c r="Y299" s="466" t="s">
        <v>24</v>
      </c>
      <c r="Z299" s="468" t="s">
        <v>25</v>
      </c>
      <c r="AA299" s="470" t="s">
        <v>26</v>
      </c>
      <c r="AB299" s="466" t="s">
        <v>24</v>
      </c>
      <c r="AC299" s="468" t="s">
        <v>25</v>
      </c>
      <c r="AD299" s="470" t="s">
        <v>26</v>
      </c>
      <c r="AE299" s="466" t="s">
        <v>24</v>
      </c>
      <c r="AF299" s="468" t="s">
        <v>25</v>
      </c>
      <c r="AG299" s="470" t="s">
        <v>26</v>
      </c>
      <c r="AH299" s="466" t="s">
        <v>24</v>
      </c>
      <c r="AI299" s="468" t="s">
        <v>25</v>
      </c>
      <c r="AJ299" s="470" t="s">
        <v>26</v>
      </c>
      <c r="AK299" s="466" t="s">
        <v>24</v>
      </c>
      <c r="AL299" s="468" t="s">
        <v>25</v>
      </c>
      <c r="AM299" s="470" t="s">
        <v>26</v>
      </c>
      <c r="AN299" s="466" t="s">
        <v>24</v>
      </c>
      <c r="AO299" s="468" t="s">
        <v>25</v>
      </c>
      <c r="AP299" s="470" t="s">
        <v>26</v>
      </c>
      <c r="AQ299" s="466" t="s">
        <v>24</v>
      </c>
      <c r="AR299" s="468" t="s">
        <v>25</v>
      </c>
      <c r="AS299" s="470" t="s">
        <v>26</v>
      </c>
      <c r="AT299" s="555" t="s">
        <v>24</v>
      </c>
      <c r="AU299" s="472" t="s">
        <v>27</v>
      </c>
    </row>
    <row r="300" spans="1:47" ht="15" customHeight="1">
      <c r="A300" s="539"/>
      <c r="B300" s="525"/>
      <c r="C300" s="525"/>
      <c r="D300" s="525"/>
      <c r="E300" s="525"/>
      <c r="F300" s="543"/>
      <c r="G300" s="505"/>
      <c r="H300" s="495"/>
      <c r="I300" s="497"/>
      <c r="J300" s="505"/>
      <c r="K300" s="495"/>
      <c r="L300" s="497"/>
      <c r="M300" s="505"/>
      <c r="N300" s="495"/>
      <c r="O300" s="497"/>
      <c r="P300" s="505"/>
      <c r="Q300" s="495"/>
      <c r="R300" s="497"/>
      <c r="S300" s="505"/>
      <c r="T300" s="495"/>
      <c r="U300" s="497"/>
      <c r="V300" s="505"/>
      <c r="W300" s="495"/>
      <c r="X300" s="535"/>
      <c r="Y300" s="505"/>
      <c r="Z300" s="495"/>
      <c r="AA300" s="497"/>
      <c r="AB300" s="505"/>
      <c r="AC300" s="495"/>
      <c r="AD300" s="497"/>
      <c r="AE300" s="505"/>
      <c r="AF300" s="495"/>
      <c r="AG300" s="497"/>
      <c r="AH300" s="505"/>
      <c r="AI300" s="495"/>
      <c r="AJ300" s="497"/>
      <c r="AK300" s="505"/>
      <c r="AL300" s="495"/>
      <c r="AM300" s="497"/>
      <c r="AN300" s="505"/>
      <c r="AO300" s="495"/>
      <c r="AP300" s="497"/>
      <c r="AQ300" s="505"/>
      <c r="AR300" s="495"/>
      <c r="AS300" s="497"/>
      <c r="AT300" s="537"/>
      <c r="AU300" s="545"/>
    </row>
    <row r="301" spans="1:47" ht="15" customHeight="1">
      <c r="A301" s="526" t="s">
        <v>204</v>
      </c>
      <c r="B301" s="540" t="s">
        <v>341</v>
      </c>
      <c r="C301" s="528">
        <v>2232</v>
      </c>
      <c r="D301" s="530" t="s">
        <v>342</v>
      </c>
      <c r="E301" s="532" t="s">
        <v>343</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526"/>
      <c r="B302" s="540"/>
      <c r="C302" s="528"/>
      <c r="D302" s="530"/>
      <c r="E302" s="532"/>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526"/>
      <c r="B303" s="540"/>
      <c r="C303" s="528"/>
      <c r="D303" s="530"/>
      <c r="E303" s="532"/>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526"/>
      <c r="B304" s="540"/>
      <c r="C304" s="528"/>
      <c r="D304" s="530"/>
      <c r="E304" s="532"/>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526"/>
      <c r="B305" s="540"/>
      <c r="C305" s="528"/>
      <c r="D305" s="530"/>
      <c r="E305" s="532"/>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526"/>
      <c r="B306" s="540"/>
      <c r="C306" s="528"/>
      <c r="D306" s="530"/>
      <c r="E306" s="532"/>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526"/>
      <c r="B307" s="540"/>
      <c r="C307" s="528"/>
      <c r="D307" s="530"/>
      <c r="E307" s="532"/>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526"/>
      <c r="B308" s="540"/>
      <c r="C308" s="528"/>
      <c r="D308" s="530"/>
      <c r="E308" s="532"/>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527"/>
      <c r="B309" s="541"/>
      <c r="C309" s="529"/>
      <c r="D309" s="531"/>
      <c r="E309" s="533"/>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489" t="s">
        <v>22</v>
      </c>
      <c r="B310" s="491" t="s">
        <v>18</v>
      </c>
      <c r="C310" s="491" t="s">
        <v>19</v>
      </c>
      <c r="D310" s="491" t="s">
        <v>203</v>
      </c>
      <c r="E310" s="491" t="s">
        <v>21</v>
      </c>
      <c r="F310" s="550" t="s">
        <v>23</v>
      </c>
      <c r="G310" s="466" t="s">
        <v>24</v>
      </c>
      <c r="H310" s="468" t="s">
        <v>25</v>
      </c>
      <c r="I310" s="470" t="s">
        <v>26</v>
      </c>
      <c r="J310" s="466" t="s">
        <v>24</v>
      </c>
      <c r="K310" s="468" t="s">
        <v>25</v>
      </c>
      <c r="L310" s="470" t="s">
        <v>26</v>
      </c>
      <c r="M310" s="466" t="s">
        <v>24</v>
      </c>
      <c r="N310" s="468" t="s">
        <v>25</v>
      </c>
      <c r="O310" s="470" t="s">
        <v>26</v>
      </c>
      <c r="P310" s="466" t="s">
        <v>24</v>
      </c>
      <c r="Q310" s="468" t="s">
        <v>25</v>
      </c>
      <c r="R310" s="470" t="s">
        <v>26</v>
      </c>
      <c r="S310" s="466" t="s">
        <v>24</v>
      </c>
      <c r="T310" s="468" t="s">
        <v>25</v>
      </c>
      <c r="U310" s="470" t="s">
        <v>26</v>
      </c>
      <c r="V310" s="466" t="s">
        <v>24</v>
      </c>
      <c r="W310" s="468" t="s">
        <v>25</v>
      </c>
      <c r="X310" s="551" t="s">
        <v>26</v>
      </c>
      <c r="Y310" s="466" t="s">
        <v>24</v>
      </c>
      <c r="Z310" s="468" t="s">
        <v>25</v>
      </c>
      <c r="AA310" s="470" t="s">
        <v>26</v>
      </c>
      <c r="AB310" s="466" t="s">
        <v>24</v>
      </c>
      <c r="AC310" s="468" t="s">
        <v>25</v>
      </c>
      <c r="AD310" s="470" t="s">
        <v>26</v>
      </c>
      <c r="AE310" s="466" t="s">
        <v>24</v>
      </c>
      <c r="AF310" s="468" t="s">
        <v>25</v>
      </c>
      <c r="AG310" s="470" t="s">
        <v>26</v>
      </c>
      <c r="AH310" s="466" t="s">
        <v>24</v>
      </c>
      <c r="AI310" s="468" t="s">
        <v>25</v>
      </c>
      <c r="AJ310" s="470" t="s">
        <v>26</v>
      </c>
      <c r="AK310" s="466" t="s">
        <v>24</v>
      </c>
      <c r="AL310" s="468" t="s">
        <v>25</v>
      </c>
      <c r="AM310" s="470" t="s">
        <v>26</v>
      </c>
      <c r="AN310" s="466" t="s">
        <v>24</v>
      </c>
      <c r="AO310" s="468" t="s">
        <v>25</v>
      </c>
      <c r="AP310" s="470" t="s">
        <v>26</v>
      </c>
      <c r="AQ310" s="466" t="s">
        <v>24</v>
      </c>
      <c r="AR310" s="468" t="s">
        <v>25</v>
      </c>
      <c r="AS310" s="470" t="s">
        <v>26</v>
      </c>
      <c r="AT310" s="555" t="s">
        <v>24</v>
      </c>
      <c r="AU310" s="472" t="s">
        <v>27</v>
      </c>
    </row>
    <row r="311" spans="1:47" ht="15" customHeight="1">
      <c r="A311" s="539"/>
      <c r="B311" s="525"/>
      <c r="C311" s="525"/>
      <c r="D311" s="525"/>
      <c r="E311" s="525"/>
      <c r="F311" s="543"/>
      <c r="G311" s="505"/>
      <c r="H311" s="495"/>
      <c r="I311" s="497"/>
      <c r="J311" s="505"/>
      <c r="K311" s="495"/>
      <c r="L311" s="497"/>
      <c r="M311" s="505"/>
      <c r="N311" s="495"/>
      <c r="O311" s="497"/>
      <c r="P311" s="505"/>
      <c r="Q311" s="495"/>
      <c r="R311" s="497"/>
      <c r="S311" s="505"/>
      <c r="T311" s="495"/>
      <c r="U311" s="497"/>
      <c r="V311" s="505"/>
      <c r="W311" s="495"/>
      <c r="X311" s="535"/>
      <c r="Y311" s="505"/>
      <c r="Z311" s="495"/>
      <c r="AA311" s="497"/>
      <c r="AB311" s="505"/>
      <c r="AC311" s="495"/>
      <c r="AD311" s="497"/>
      <c r="AE311" s="505"/>
      <c r="AF311" s="495"/>
      <c r="AG311" s="497"/>
      <c r="AH311" s="505"/>
      <c r="AI311" s="495"/>
      <c r="AJ311" s="497"/>
      <c r="AK311" s="505"/>
      <c r="AL311" s="495"/>
      <c r="AM311" s="497"/>
      <c r="AN311" s="505"/>
      <c r="AO311" s="495"/>
      <c r="AP311" s="497"/>
      <c r="AQ311" s="505"/>
      <c r="AR311" s="495"/>
      <c r="AS311" s="497"/>
      <c r="AT311" s="537"/>
      <c r="AU311" s="545"/>
    </row>
    <row r="312" spans="1:47" ht="15" customHeight="1">
      <c r="A312" s="526" t="s">
        <v>344</v>
      </c>
      <c r="B312" s="540" t="s">
        <v>345</v>
      </c>
      <c r="C312" s="528">
        <v>2387</v>
      </c>
      <c r="D312" s="556" t="s">
        <v>346</v>
      </c>
      <c r="E312" s="532" t="s">
        <v>347</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526"/>
      <c r="B313" s="540"/>
      <c r="C313" s="528"/>
      <c r="D313" s="556"/>
      <c r="E313" s="532"/>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526"/>
      <c r="B314" s="540"/>
      <c r="C314" s="528"/>
      <c r="D314" s="556"/>
      <c r="E314" s="532"/>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526"/>
      <c r="B315" s="540"/>
      <c r="C315" s="528"/>
      <c r="D315" s="556"/>
      <c r="E315" s="532"/>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526"/>
      <c r="B316" s="540"/>
      <c r="C316" s="528"/>
      <c r="D316" s="556"/>
      <c r="E316" s="532"/>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526"/>
      <c r="B317" s="540"/>
      <c r="C317" s="528"/>
      <c r="D317" s="556"/>
      <c r="E317" s="532"/>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526"/>
      <c r="B318" s="540"/>
      <c r="C318" s="528"/>
      <c r="D318" s="556"/>
      <c r="E318" s="532"/>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526"/>
      <c r="B319" s="540"/>
      <c r="C319" s="528"/>
      <c r="D319" s="556"/>
      <c r="E319" s="532"/>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473"/>
      <c r="B320" s="476"/>
      <c r="C320" s="479"/>
      <c r="D320" s="562"/>
      <c r="E320" s="485"/>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538" t="s">
        <v>22</v>
      </c>
      <c r="B321" s="524" t="s">
        <v>18</v>
      </c>
      <c r="C321" s="524" t="s">
        <v>19</v>
      </c>
      <c r="D321" s="524" t="s">
        <v>203</v>
      </c>
      <c r="E321" s="524" t="s">
        <v>21</v>
      </c>
      <c r="F321" s="542" t="s">
        <v>23</v>
      </c>
      <c r="G321" s="504" t="s">
        <v>24</v>
      </c>
      <c r="H321" s="494" t="s">
        <v>25</v>
      </c>
      <c r="I321" s="496" t="s">
        <v>26</v>
      </c>
      <c r="J321" s="504" t="s">
        <v>24</v>
      </c>
      <c r="K321" s="494" t="s">
        <v>25</v>
      </c>
      <c r="L321" s="496" t="s">
        <v>26</v>
      </c>
      <c r="M321" s="504" t="s">
        <v>24</v>
      </c>
      <c r="N321" s="494" t="s">
        <v>25</v>
      </c>
      <c r="O321" s="496" t="s">
        <v>26</v>
      </c>
      <c r="P321" s="504" t="s">
        <v>24</v>
      </c>
      <c r="Q321" s="494" t="s">
        <v>25</v>
      </c>
      <c r="R321" s="496" t="s">
        <v>26</v>
      </c>
      <c r="S321" s="504" t="s">
        <v>24</v>
      </c>
      <c r="T321" s="494" t="s">
        <v>25</v>
      </c>
      <c r="U321" s="496" t="s">
        <v>26</v>
      </c>
      <c r="V321" s="504" t="s">
        <v>24</v>
      </c>
      <c r="W321" s="494" t="s">
        <v>25</v>
      </c>
      <c r="X321" s="534" t="s">
        <v>26</v>
      </c>
      <c r="Y321" s="504" t="s">
        <v>24</v>
      </c>
      <c r="Z321" s="494" t="s">
        <v>25</v>
      </c>
      <c r="AA321" s="496" t="s">
        <v>26</v>
      </c>
      <c r="AB321" s="504" t="s">
        <v>24</v>
      </c>
      <c r="AC321" s="494" t="s">
        <v>25</v>
      </c>
      <c r="AD321" s="496" t="s">
        <v>26</v>
      </c>
      <c r="AE321" s="504" t="s">
        <v>24</v>
      </c>
      <c r="AF321" s="494" t="s">
        <v>25</v>
      </c>
      <c r="AG321" s="496" t="s">
        <v>26</v>
      </c>
      <c r="AH321" s="504" t="s">
        <v>24</v>
      </c>
      <c r="AI321" s="494" t="s">
        <v>25</v>
      </c>
      <c r="AJ321" s="496" t="s">
        <v>26</v>
      </c>
      <c r="AK321" s="504" t="s">
        <v>24</v>
      </c>
      <c r="AL321" s="494" t="s">
        <v>25</v>
      </c>
      <c r="AM321" s="496" t="s">
        <v>26</v>
      </c>
      <c r="AN321" s="504" t="s">
        <v>24</v>
      </c>
      <c r="AO321" s="494" t="s">
        <v>25</v>
      </c>
      <c r="AP321" s="496" t="s">
        <v>26</v>
      </c>
      <c r="AQ321" s="504" t="s">
        <v>24</v>
      </c>
      <c r="AR321" s="494" t="s">
        <v>25</v>
      </c>
      <c r="AS321" s="496" t="s">
        <v>26</v>
      </c>
      <c r="AT321" s="536" t="s">
        <v>24</v>
      </c>
      <c r="AU321" s="544" t="s">
        <v>27</v>
      </c>
    </row>
    <row r="322" spans="1:47" ht="15" customHeight="1">
      <c r="A322" s="539"/>
      <c r="B322" s="525"/>
      <c r="C322" s="525"/>
      <c r="D322" s="525"/>
      <c r="E322" s="525"/>
      <c r="F322" s="543"/>
      <c r="G322" s="505"/>
      <c r="H322" s="495"/>
      <c r="I322" s="497"/>
      <c r="J322" s="505"/>
      <c r="K322" s="495"/>
      <c r="L322" s="497"/>
      <c r="M322" s="505"/>
      <c r="N322" s="495"/>
      <c r="O322" s="497"/>
      <c r="P322" s="505"/>
      <c r="Q322" s="495"/>
      <c r="R322" s="497"/>
      <c r="S322" s="505"/>
      <c r="T322" s="495"/>
      <c r="U322" s="497"/>
      <c r="V322" s="505"/>
      <c r="W322" s="495"/>
      <c r="X322" s="535"/>
      <c r="Y322" s="505"/>
      <c r="Z322" s="495"/>
      <c r="AA322" s="497"/>
      <c r="AB322" s="505"/>
      <c r="AC322" s="495"/>
      <c r="AD322" s="497"/>
      <c r="AE322" s="505"/>
      <c r="AF322" s="495"/>
      <c r="AG322" s="497"/>
      <c r="AH322" s="505"/>
      <c r="AI322" s="495"/>
      <c r="AJ322" s="497"/>
      <c r="AK322" s="505"/>
      <c r="AL322" s="495"/>
      <c r="AM322" s="497"/>
      <c r="AN322" s="505"/>
      <c r="AO322" s="495"/>
      <c r="AP322" s="497"/>
      <c r="AQ322" s="505"/>
      <c r="AR322" s="495"/>
      <c r="AS322" s="497"/>
      <c r="AT322" s="537"/>
      <c r="AU322" s="545"/>
    </row>
    <row r="323" spans="1:47" ht="15" customHeight="1">
      <c r="A323" s="526" t="s">
        <v>204</v>
      </c>
      <c r="B323" s="540" t="s">
        <v>205</v>
      </c>
      <c r="C323" s="528">
        <v>2087</v>
      </c>
      <c r="D323" s="530" t="s">
        <v>206</v>
      </c>
      <c r="E323" s="532" t="s">
        <v>207</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526"/>
      <c r="B324" s="540"/>
      <c r="C324" s="528"/>
      <c r="D324" s="530"/>
      <c r="E324" s="532"/>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526"/>
      <c r="B325" s="540"/>
      <c r="C325" s="528"/>
      <c r="D325" s="530"/>
      <c r="E325" s="532"/>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526"/>
      <c r="B326" s="540"/>
      <c r="C326" s="528"/>
      <c r="D326" s="530"/>
      <c r="E326" s="532"/>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526"/>
      <c r="B327" s="540"/>
      <c r="C327" s="528"/>
      <c r="D327" s="530"/>
      <c r="E327" s="532"/>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526"/>
      <c r="B328" s="540"/>
      <c r="C328" s="528"/>
      <c r="D328" s="530"/>
      <c r="E328" s="532"/>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526"/>
      <c r="B329" s="540"/>
      <c r="C329" s="528"/>
      <c r="D329" s="530"/>
      <c r="E329" s="532"/>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526"/>
      <c r="B330" s="540"/>
      <c r="C330" s="528"/>
      <c r="D330" s="530"/>
      <c r="E330" s="532"/>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527"/>
      <c r="B331" s="541"/>
      <c r="C331" s="529"/>
      <c r="D331" s="531"/>
      <c r="E331" s="533"/>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538" t="s">
        <v>22</v>
      </c>
      <c r="B332" s="524" t="s">
        <v>18</v>
      </c>
      <c r="C332" s="524" t="s">
        <v>19</v>
      </c>
      <c r="D332" s="524" t="s">
        <v>203</v>
      </c>
      <c r="E332" s="524" t="s">
        <v>21</v>
      </c>
      <c r="F332" s="542" t="s">
        <v>23</v>
      </c>
      <c r="G332" s="504" t="s">
        <v>24</v>
      </c>
      <c r="H332" s="494" t="s">
        <v>25</v>
      </c>
      <c r="I332" s="496" t="s">
        <v>26</v>
      </c>
      <c r="J332" s="504" t="s">
        <v>24</v>
      </c>
      <c r="K332" s="494" t="s">
        <v>25</v>
      </c>
      <c r="L332" s="496" t="s">
        <v>26</v>
      </c>
      <c r="M332" s="504" t="s">
        <v>24</v>
      </c>
      <c r="N332" s="494" t="s">
        <v>25</v>
      </c>
      <c r="O332" s="496" t="s">
        <v>26</v>
      </c>
      <c r="P332" s="504" t="s">
        <v>24</v>
      </c>
      <c r="Q332" s="494" t="s">
        <v>25</v>
      </c>
      <c r="R332" s="496" t="s">
        <v>26</v>
      </c>
      <c r="S332" s="504" t="s">
        <v>24</v>
      </c>
      <c r="T332" s="494" t="s">
        <v>25</v>
      </c>
      <c r="U332" s="496" t="s">
        <v>26</v>
      </c>
      <c r="V332" s="504" t="s">
        <v>24</v>
      </c>
      <c r="W332" s="494" t="s">
        <v>25</v>
      </c>
      <c r="X332" s="534" t="s">
        <v>26</v>
      </c>
      <c r="Y332" s="504" t="s">
        <v>24</v>
      </c>
      <c r="Z332" s="494" t="s">
        <v>25</v>
      </c>
      <c r="AA332" s="496" t="s">
        <v>26</v>
      </c>
      <c r="AB332" s="504" t="s">
        <v>24</v>
      </c>
      <c r="AC332" s="494" t="s">
        <v>25</v>
      </c>
      <c r="AD332" s="496" t="s">
        <v>26</v>
      </c>
      <c r="AE332" s="504" t="s">
        <v>24</v>
      </c>
      <c r="AF332" s="494" t="s">
        <v>25</v>
      </c>
      <c r="AG332" s="496" t="s">
        <v>26</v>
      </c>
      <c r="AH332" s="504" t="s">
        <v>24</v>
      </c>
      <c r="AI332" s="494" t="s">
        <v>25</v>
      </c>
      <c r="AJ332" s="496" t="s">
        <v>26</v>
      </c>
      <c r="AK332" s="504" t="s">
        <v>24</v>
      </c>
      <c r="AL332" s="494" t="s">
        <v>25</v>
      </c>
      <c r="AM332" s="496" t="s">
        <v>26</v>
      </c>
      <c r="AN332" s="504" t="s">
        <v>24</v>
      </c>
      <c r="AO332" s="494" t="s">
        <v>25</v>
      </c>
      <c r="AP332" s="496" t="s">
        <v>26</v>
      </c>
      <c r="AQ332" s="504" t="s">
        <v>24</v>
      </c>
      <c r="AR332" s="494" t="s">
        <v>25</v>
      </c>
      <c r="AS332" s="496" t="s">
        <v>26</v>
      </c>
      <c r="AT332" s="536" t="s">
        <v>24</v>
      </c>
      <c r="AU332" s="544" t="s">
        <v>27</v>
      </c>
    </row>
    <row r="333" spans="1:47" ht="25.5" customHeight="1">
      <c r="A333" s="539"/>
      <c r="B333" s="525"/>
      <c r="C333" s="525"/>
      <c r="D333" s="525"/>
      <c r="E333" s="525"/>
      <c r="F333" s="543"/>
      <c r="G333" s="505"/>
      <c r="H333" s="495"/>
      <c r="I333" s="497"/>
      <c r="J333" s="505"/>
      <c r="K333" s="495"/>
      <c r="L333" s="497"/>
      <c r="M333" s="505"/>
      <c r="N333" s="495"/>
      <c r="O333" s="497"/>
      <c r="P333" s="505"/>
      <c r="Q333" s="495"/>
      <c r="R333" s="497"/>
      <c r="S333" s="505"/>
      <c r="T333" s="495"/>
      <c r="U333" s="497"/>
      <c r="V333" s="505"/>
      <c r="W333" s="495"/>
      <c r="X333" s="535"/>
      <c r="Y333" s="505"/>
      <c r="Z333" s="495"/>
      <c r="AA333" s="497"/>
      <c r="AB333" s="505"/>
      <c r="AC333" s="495"/>
      <c r="AD333" s="497"/>
      <c r="AE333" s="505"/>
      <c r="AF333" s="495"/>
      <c r="AG333" s="497"/>
      <c r="AH333" s="505"/>
      <c r="AI333" s="495"/>
      <c r="AJ333" s="497"/>
      <c r="AK333" s="505"/>
      <c r="AL333" s="495"/>
      <c r="AM333" s="497"/>
      <c r="AN333" s="505"/>
      <c r="AO333" s="495"/>
      <c r="AP333" s="497"/>
      <c r="AQ333" s="505"/>
      <c r="AR333" s="495"/>
      <c r="AS333" s="497"/>
      <c r="AT333" s="537"/>
      <c r="AU333" s="545"/>
    </row>
    <row r="334" spans="1:47" ht="14.45" customHeight="1">
      <c r="A334" s="526" t="s">
        <v>204</v>
      </c>
      <c r="B334" s="540" t="s">
        <v>348</v>
      </c>
      <c r="C334" s="528">
        <v>2064</v>
      </c>
      <c r="D334" s="530" t="s">
        <v>349</v>
      </c>
      <c r="E334" s="532" t="s">
        <v>350</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526"/>
      <c r="B335" s="540"/>
      <c r="C335" s="528"/>
      <c r="D335" s="530"/>
      <c r="E335" s="532"/>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526"/>
      <c r="B336" s="540"/>
      <c r="C336" s="528"/>
      <c r="D336" s="530"/>
      <c r="E336" s="532"/>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526"/>
      <c r="B337" s="540"/>
      <c r="C337" s="528"/>
      <c r="D337" s="530"/>
      <c r="E337" s="532"/>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526"/>
      <c r="B338" s="540"/>
      <c r="C338" s="528"/>
      <c r="D338" s="530"/>
      <c r="E338" s="532"/>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526"/>
      <c r="B339" s="540"/>
      <c r="C339" s="528"/>
      <c r="D339" s="530"/>
      <c r="E339" s="532"/>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526"/>
      <c r="B340" s="540"/>
      <c r="C340" s="528"/>
      <c r="D340" s="530"/>
      <c r="E340" s="532"/>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526"/>
      <c r="B341" s="540"/>
      <c r="C341" s="528"/>
      <c r="D341" s="530"/>
      <c r="E341" s="532"/>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527"/>
      <c r="B342" s="541"/>
      <c r="C342" s="529"/>
      <c r="D342" s="531"/>
      <c r="E342" s="533"/>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538" t="s">
        <v>22</v>
      </c>
      <c r="B343" s="524" t="s">
        <v>18</v>
      </c>
      <c r="C343" s="524" t="s">
        <v>19</v>
      </c>
      <c r="D343" s="524" t="s">
        <v>203</v>
      </c>
      <c r="E343" s="524" t="s">
        <v>21</v>
      </c>
      <c r="F343" s="542" t="s">
        <v>23</v>
      </c>
      <c r="G343" s="504" t="s">
        <v>24</v>
      </c>
      <c r="H343" s="494" t="s">
        <v>25</v>
      </c>
      <c r="I343" s="496" t="s">
        <v>26</v>
      </c>
      <c r="J343" s="504" t="s">
        <v>24</v>
      </c>
      <c r="K343" s="494" t="s">
        <v>25</v>
      </c>
      <c r="L343" s="496" t="s">
        <v>26</v>
      </c>
      <c r="M343" s="504" t="s">
        <v>24</v>
      </c>
      <c r="N343" s="494" t="s">
        <v>25</v>
      </c>
      <c r="O343" s="496" t="s">
        <v>26</v>
      </c>
      <c r="P343" s="504" t="s">
        <v>24</v>
      </c>
      <c r="Q343" s="494" t="s">
        <v>25</v>
      </c>
      <c r="R343" s="496" t="s">
        <v>26</v>
      </c>
      <c r="S343" s="504" t="s">
        <v>24</v>
      </c>
      <c r="T343" s="494" t="s">
        <v>25</v>
      </c>
      <c r="U343" s="496" t="s">
        <v>26</v>
      </c>
      <c r="V343" s="504" t="s">
        <v>24</v>
      </c>
      <c r="W343" s="494" t="s">
        <v>25</v>
      </c>
      <c r="X343" s="534" t="s">
        <v>26</v>
      </c>
      <c r="Y343" s="504" t="s">
        <v>24</v>
      </c>
      <c r="Z343" s="494" t="s">
        <v>25</v>
      </c>
      <c r="AA343" s="496" t="s">
        <v>26</v>
      </c>
      <c r="AB343" s="504" t="s">
        <v>24</v>
      </c>
      <c r="AC343" s="494" t="s">
        <v>25</v>
      </c>
      <c r="AD343" s="496" t="s">
        <v>26</v>
      </c>
      <c r="AE343" s="504" t="s">
        <v>24</v>
      </c>
      <c r="AF343" s="494" t="s">
        <v>25</v>
      </c>
      <c r="AG343" s="496" t="s">
        <v>26</v>
      </c>
      <c r="AH343" s="504" t="s">
        <v>24</v>
      </c>
      <c r="AI343" s="494" t="s">
        <v>25</v>
      </c>
      <c r="AJ343" s="496" t="s">
        <v>26</v>
      </c>
      <c r="AK343" s="504" t="s">
        <v>24</v>
      </c>
      <c r="AL343" s="494" t="s">
        <v>25</v>
      </c>
      <c r="AM343" s="496" t="s">
        <v>26</v>
      </c>
      <c r="AN343" s="504" t="s">
        <v>24</v>
      </c>
      <c r="AO343" s="494" t="s">
        <v>25</v>
      </c>
      <c r="AP343" s="496" t="s">
        <v>26</v>
      </c>
      <c r="AQ343" s="504" t="s">
        <v>24</v>
      </c>
      <c r="AR343" s="494" t="s">
        <v>25</v>
      </c>
      <c r="AS343" s="496" t="s">
        <v>26</v>
      </c>
      <c r="AT343" s="536" t="s">
        <v>24</v>
      </c>
      <c r="AU343" s="544" t="s">
        <v>27</v>
      </c>
    </row>
    <row r="344" spans="1:47" ht="25.5" customHeight="1">
      <c r="A344" s="539"/>
      <c r="B344" s="525"/>
      <c r="C344" s="525"/>
      <c r="D344" s="525"/>
      <c r="E344" s="525"/>
      <c r="F344" s="543"/>
      <c r="G344" s="505"/>
      <c r="H344" s="495"/>
      <c r="I344" s="497"/>
      <c r="J344" s="505"/>
      <c r="K344" s="495"/>
      <c r="L344" s="497"/>
      <c r="M344" s="505"/>
      <c r="N344" s="495"/>
      <c r="O344" s="497"/>
      <c r="P344" s="505"/>
      <c r="Q344" s="495"/>
      <c r="R344" s="497"/>
      <c r="S344" s="505"/>
      <c r="T344" s="495"/>
      <c r="U344" s="497"/>
      <c r="V344" s="505"/>
      <c r="W344" s="495"/>
      <c r="X344" s="535"/>
      <c r="Y344" s="505"/>
      <c r="Z344" s="495"/>
      <c r="AA344" s="497"/>
      <c r="AB344" s="505"/>
      <c r="AC344" s="495"/>
      <c r="AD344" s="497"/>
      <c r="AE344" s="505"/>
      <c r="AF344" s="495"/>
      <c r="AG344" s="497"/>
      <c r="AH344" s="505"/>
      <c r="AI344" s="495"/>
      <c r="AJ344" s="497"/>
      <c r="AK344" s="505"/>
      <c r="AL344" s="495"/>
      <c r="AM344" s="497"/>
      <c r="AN344" s="505"/>
      <c r="AO344" s="495"/>
      <c r="AP344" s="497"/>
      <c r="AQ344" s="505"/>
      <c r="AR344" s="495"/>
      <c r="AS344" s="497"/>
      <c r="AT344" s="537"/>
      <c r="AU344" s="545"/>
    </row>
    <row r="345" spans="1:47">
      <c r="A345" s="526" t="s">
        <v>204</v>
      </c>
      <c r="B345" s="540" t="s">
        <v>351</v>
      </c>
      <c r="C345" s="528">
        <v>2897</v>
      </c>
      <c r="D345" s="530" t="s">
        <v>352</v>
      </c>
      <c r="E345" s="532" t="s">
        <v>353</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526"/>
      <c r="B346" s="540"/>
      <c r="C346" s="528"/>
      <c r="D346" s="530"/>
      <c r="E346" s="532"/>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526"/>
      <c r="B347" s="540"/>
      <c r="C347" s="528"/>
      <c r="D347" s="530"/>
      <c r="E347" s="532"/>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526"/>
      <c r="B348" s="540"/>
      <c r="C348" s="528"/>
      <c r="D348" s="530"/>
      <c r="E348" s="532"/>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526"/>
      <c r="B349" s="540"/>
      <c r="C349" s="528"/>
      <c r="D349" s="530"/>
      <c r="E349" s="532"/>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526"/>
      <c r="B350" s="540"/>
      <c r="C350" s="528"/>
      <c r="D350" s="530"/>
      <c r="E350" s="532"/>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526"/>
      <c r="B351" s="540"/>
      <c r="C351" s="528"/>
      <c r="D351" s="530"/>
      <c r="E351" s="532"/>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526"/>
      <c r="B352" s="540"/>
      <c r="C352" s="528"/>
      <c r="D352" s="530"/>
      <c r="E352" s="532"/>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527"/>
      <c r="B353" s="541"/>
      <c r="C353" s="529"/>
      <c r="D353" s="531"/>
      <c r="E353" s="533"/>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538" t="s">
        <v>22</v>
      </c>
      <c r="B354" s="524" t="s">
        <v>18</v>
      </c>
      <c r="C354" s="524" t="s">
        <v>19</v>
      </c>
      <c r="D354" s="524" t="s">
        <v>203</v>
      </c>
      <c r="E354" s="524" t="s">
        <v>21</v>
      </c>
      <c r="F354" s="542" t="s">
        <v>23</v>
      </c>
      <c r="G354" s="504" t="s">
        <v>24</v>
      </c>
      <c r="H354" s="494" t="s">
        <v>25</v>
      </c>
      <c r="I354" s="496" t="s">
        <v>26</v>
      </c>
      <c r="J354" s="504" t="s">
        <v>24</v>
      </c>
      <c r="K354" s="494" t="s">
        <v>25</v>
      </c>
      <c r="L354" s="496" t="s">
        <v>26</v>
      </c>
      <c r="M354" s="504" t="s">
        <v>24</v>
      </c>
      <c r="N354" s="494" t="s">
        <v>25</v>
      </c>
      <c r="O354" s="496" t="s">
        <v>26</v>
      </c>
      <c r="P354" s="504" t="s">
        <v>24</v>
      </c>
      <c r="Q354" s="494" t="s">
        <v>25</v>
      </c>
      <c r="R354" s="496" t="s">
        <v>26</v>
      </c>
      <c r="S354" s="504" t="s">
        <v>24</v>
      </c>
      <c r="T354" s="494" t="s">
        <v>25</v>
      </c>
      <c r="U354" s="496" t="s">
        <v>26</v>
      </c>
      <c r="V354" s="504" t="s">
        <v>24</v>
      </c>
      <c r="W354" s="494" t="s">
        <v>25</v>
      </c>
      <c r="X354" s="534" t="s">
        <v>26</v>
      </c>
      <c r="Y354" s="504" t="s">
        <v>24</v>
      </c>
      <c r="Z354" s="494" t="s">
        <v>25</v>
      </c>
      <c r="AA354" s="496" t="s">
        <v>26</v>
      </c>
      <c r="AB354" s="504" t="s">
        <v>24</v>
      </c>
      <c r="AC354" s="494" t="s">
        <v>25</v>
      </c>
      <c r="AD354" s="496" t="s">
        <v>26</v>
      </c>
      <c r="AE354" s="504" t="s">
        <v>24</v>
      </c>
      <c r="AF354" s="494" t="s">
        <v>25</v>
      </c>
      <c r="AG354" s="496" t="s">
        <v>26</v>
      </c>
      <c r="AH354" s="504" t="s">
        <v>24</v>
      </c>
      <c r="AI354" s="494" t="s">
        <v>25</v>
      </c>
      <c r="AJ354" s="496" t="s">
        <v>26</v>
      </c>
      <c r="AK354" s="504" t="s">
        <v>24</v>
      </c>
      <c r="AL354" s="494" t="s">
        <v>25</v>
      </c>
      <c r="AM354" s="496" t="s">
        <v>26</v>
      </c>
      <c r="AN354" s="504" t="s">
        <v>24</v>
      </c>
      <c r="AO354" s="494" t="s">
        <v>25</v>
      </c>
      <c r="AP354" s="496" t="s">
        <v>26</v>
      </c>
      <c r="AQ354" s="504" t="s">
        <v>24</v>
      </c>
      <c r="AR354" s="494" t="s">
        <v>25</v>
      </c>
      <c r="AS354" s="496" t="s">
        <v>26</v>
      </c>
      <c r="AT354" s="536" t="s">
        <v>24</v>
      </c>
      <c r="AU354" s="544" t="s">
        <v>27</v>
      </c>
    </row>
    <row r="355" spans="1:47" ht="15" customHeight="1">
      <c r="A355" s="539"/>
      <c r="B355" s="525"/>
      <c r="C355" s="525"/>
      <c r="D355" s="525"/>
      <c r="E355" s="525"/>
      <c r="F355" s="543"/>
      <c r="G355" s="505"/>
      <c r="H355" s="495"/>
      <c r="I355" s="497"/>
      <c r="J355" s="505"/>
      <c r="K355" s="495"/>
      <c r="L355" s="497"/>
      <c r="M355" s="505"/>
      <c r="N355" s="495"/>
      <c r="O355" s="497"/>
      <c r="P355" s="505"/>
      <c r="Q355" s="495"/>
      <c r="R355" s="497"/>
      <c r="S355" s="505"/>
      <c r="T355" s="495"/>
      <c r="U355" s="497"/>
      <c r="V355" s="505"/>
      <c r="W355" s="495"/>
      <c r="X355" s="535"/>
      <c r="Y355" s="505"/>
      <c r="Z355" s="495"/>
      <c r="AA355" s="497"/>
      <c r="AB355" s="505"/>
      <c r="AC355" s="495"/>
      <c r="AD355" s="497"/>
      <c r="AE355" s="505"/>
      <c r="AF355" s="495"/>
      <c r="AG355" s="497"/>
      <c r="AH355" s="505"/>
      <c r="AI355" s="495"/>
      <c r="AJ355" s="497"/>
      <c r="AK355" s="505"/>
      <c r="AL355" s="495"/>
      <c r="AM355" s="497"/>
      <c r="AN355" s="505"/>
      <c r="AO355" s="495"/>
      <c r="AP355" s="497"/>
      <c r="AQ355" s="505"/>
      <c r="AR355" s="495"/>
      <c r="AS355" s="497"/>
      <c r="AT355" s="537"/>
      <c r="AU355" s="545"/>
    </row>
    <row r="356" spans="1:47" ht="15" customHeight="1">
      <c r="A356" s="526" t="s">
        <v>204</v>
      </c>
      <c r="B356" s="540" t="s">
        <v>354</v>
      </c>
      <c r="C356" s="528">
        <v>384</v>
      </c>
      <c r="D356" s="530" t="s">
        <v>355</v>
      </c>
      <c r="E356" s="532" t="s">
        <v>356</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526"/>
      <c r="B357" s="540"/>
      <c r="C357" s="528"/>
      <c r="D357" s="530"/>
      <c r="E357" s="532"/>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526"/>
      <c r="B358" s="540"/>
      <c r="C358" s="528"/>
      <c r="D358" s="530"/>
      <c r="E358" s="532"/>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526"/>
      <c r="B359" s="540"/>
      <c r="C359" s="528"/>
      <c r="D359" s="530"/>
      <c r="E359" s="532"/>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526"/>
      <c r="B360" s="540"/>
      <c r="C360" s="528"/>
      <c r="D360" s="530"/>
      <c r="E360" s="532"/>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526"/>
      <c r="B361" s="540"/>
      <c r="C361" s="528"/>
      <c r="D361" s="530"/>
      <c r="E361" s="532"/>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526"/>
      <c r="B362" s="540"/>
      <c r="C362" s="528"/>
      <c r="D362" s="530"/>
      <c r="E362" s="532"/>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526"/>
      <c r="B363" s="540"/>
      <c r="C363" s="528"/>
      <c r="D363" s="530"/>
      <c r="E363" s="532"/>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527"/>
      <c r="B364" s="541"/>
      <c r="C364" s="529"/>
      <c r="D364" s="531"/>
      <c r="E364" s="533"/>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538" t="s">
        <v>22</v>
      </c>
      <c r="B365" s="524" t="s">
        <v>18</v>
      </c>
      <c r="C365" s="524" t="s">
        <v>19</v>
      </c>
      <c r="D365" s="524" t="s">
        <v>203</v>
      </c>
      <c r="E365" s="524" t="s">
        <v>21</v>
      </c>
      <c r="F365" s="542" t="s">
        <v>23</v>
      </c>
      <c r="G365" s="504" t="s">
        <v>24</v>
      </c>
      <c r="H365" s="494" t="s">
        <v>25</v>
      </c>
      <c r="I365" s="496" t="s">
        <v>26</v>
      </c>
      <c r="J365" s="504" t="s">
        <v>24</v>
      </c>
      <c r="K365" s="494" t="s">
        <v>25</v>
      </c>
      <c r="L365" s="496" t="s">
        <v>26</v>
      </c>
      <c r="M365" s="504" t="s">
        <v>24</v>
      </c>
      <c r="N365" s="494" t="s">
        <v>25</v>
      </c>
      <c r="O365" s="496" t="s">
        <v>26</v>
      </c>
      <c r="P365" s="504" t="s">
        <v>24</v>
      </c>
      <c r="Q365" s="494" t="s">
        <v>25</v>
      </c>
      <c r="R365" s="496" t="s">
        <v>26</v>
      </c>
      <c r="S365" s="504" t="s">
        <v>24</v>
      </c>
      <c r="T365" s="494" t="s">
        <v>25</v>
      </c>
      <c r="U365" s="496" t="s">
        <v>26</v>
      </c>
      <c r="V365" s="504" t="s">
        <v>24</v>
      </c>
      <c r="W365" s="494" t="s">
        <v>25</v>
      </c>
      <c r="X365" s="534" t="s">
        <v>26</v>
      </c>
      <c r="Y365" s="504" t="s">
        <v>24</v>
      </c>
      <c r="Z365" s="494" t="s">
        <v>25</v>
      </c>
      <c r="AA365" s="496" t="s">
        <v>26</v>
      </c>
      <c r="AB365" s="504" t="s">
        <v>24</v>
      </c>
      <c r="AC365" s="494" t="s">
        <v>25</v>
      </c>
      <c r="AD365" s="496" t="s">
        <v>26</v>
      </c>
      <c r="AE365" s="504" t="s">
        <v>24</v>
      </c>
      <c r="AF365" s="494" t="s">
        <v>25</v>
      </c>
      <c r="AG365" s="496" t="s">
        <v>26</v>
      </c>
      <c r="AH365" s="504" t="s">
        <v>24</v>
      </c>
      <c r="AI365" s="494" t="s">
        <v>25</v>
      </c>
      <c r="AJ365" s="496" t="s">
        <v>26</v>
      </c>
      <c r="AK365" s="504" t="s">
        <v>24</v>
      </c>
      <c r="AL365" s="494" t="s">
        <v>25</v>
      </c>
      <c r="AM365" s="496" t="s">
        <v>26</v>
      </c>
      <c r="AN365" s="504" t="s">
        <v>24</v>
      </c>
      <c r="AO365" s="494" t="s">
        <v>25</v>
      </c>
      <c r="AP365" s="496" t="s">
        <v>26</v>
      </c>
      <c r="AQ365" s="504" t="s">
        <v>24</v>
      </c>
      <c r="AR365" s="494" t="s">
        <v>25</v>
      </c>
      <c r="AS365" s="496" t="s">
        <v>26</v>
      </c>
      <c r="AT365" s="536" t="s">
        <v>24</v>
      </c>
      <c r="AU365" s="544" t="s">
        <v>27</v>
      </c>
    </row>
    <row r="366" spans="1:47" ht="15" customHeight="1">
      <c r="A366" s="539"/>
      <c r="B366" s="525"/>
      <c r="C366" s="525"/>
      <c r="D366" s="525"/>
      <c r="E366" s="525"/>
      <c r="F366" s="543"/>
      <c r="G366" s="505"/>
      <c r="H366" s="495"/>
      <c r="I366" s="497"/>
      <c r="J366" s="505"/>
      <c r="K366" s="495"/>
      <c r="L366" s="497"/>
      <c r="M366" s="505"/>
      <c r="N366" s="495"/>
      <c r="O366" s="497"/>
      <c r="P366" s="505"/>
      <c r="Q366" s="495"/>
      <c r="R366" s="497"/>
      <c r="S366" s="505"/>
      <c r="T366" s="495"/>
      <c r="U366" s="497"/>
      <c r="V366" s="505"/>
      <c r="W366" s="495"/>
      <c r="X366" s="535"/>
      <c r="Y366" s="505"/>
      <c r="Z366" s="495"/>
      <c r="AA366" s="497"/>
      <c r="AB366" s="505"/>
      <c r="AC366" s="495"/>
      <c r="AD366" s="497"/>
      <c r="AE366" s="505"/>
      <c r="AF366" s="495"/>
      <c r="AG366" s="497"/>
      <c r="AH366" s="505"/>
      <c r="AI366" s="495"/>
      <c r="AJ366" s="497"/>
      <c r="AK366" s="505"/>
      <c r="AL366" s="495"/>
      <c r="AM366" s="497"/>
      <c r="AN366" s="505"/>
      <c r="AO366" s="495"/>
      <c r="AP366" s="497"/>
      <c r="AQ366" s="505"/>
      <c r="AR366" s="495"/>
      <c r="AS366" s="497"/>
      <c r="AT366" s="537"/>
      <c r="AU366" s="545"/>
    </row>
    <row r="367" spans="1:47" ht="15" customHeight="1">
      <c r="A367" s="526" t="s">
        <v>204</v>
      </c>
      <c r="B367" s="540" t="s">
        <v>357</v>
      </c>
      <c r="C367" s="528">
        <v>224</v>
      </c>
      <c r="D367" s="530" t="s">
        <v>358</v>
      </c>
      <c r="E367" s="532" t="s">
        <v>359</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526"/>
      <c r="B368" s="540"/>
      <c r="C368" s="528"/>
      <c r="D368" s="530"/>
      <c r="E368" s="532"/>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526"/>
      <c r="B369" s="540"/>
      <c r="C369" s="528"/>
      <c r="D369" s="530"/>
      <c r="E369" s="532"/>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526"/>
      <c r="B370" s="540"/>
      <c r="C370" s="528"/>
      <c r="D370" s="530"/>
      <c r="E370" s="532"/>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526"/>
      <c r="B371" s="540"/>
      <c r="C371" s="528"/>
      <c r="D371" s="530"/>
      <c r="E371" s="532"/>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526"/>
      <c r="B372" s="540"/>
      <c r="C372" s="528"/>
      <c r="D372" s="530"/>
      <c r="E372" s="532"/>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526"/>
      <c r="B373" s="540"/>
      <c r="C373" s="528"/>
      <c r="D373" s="530"/>
      <c r="E373" s="532"/>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526"/>
      <c r="B374" s="540"/>
      <c r="C374" s="528"/>
      <c r="D374" s="530"/>
      <c r="E374" s="532"/>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527"/>
      <c r="B375" s="541"/>
      <c r="C375" s="529"/>
      <c r="D375" s="531"/>
      <c r="E375" s="533"/>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538" t="s">
        <v>22</v>
      </c>
      <c r="B376" s="524" t="s">
        <v>18</v>
      </c>
      <c r="C376" s="524" t="s">
        <v>19</v>
      </c>
      <c r="D376" s="524" t="s">
        <v>203</v>
      </c>
      <c r="E376" s="524" t="s">
        <v>21</v>
      </c>
      <c r="F376" s="542" t="s">
        <v>23</v>
      </c>
      <c r="G376" s="504" t="s">
        <v>24</v>
      </c>
      <c r="H376" s="494" t="s">
        <v>25</v>
      </c>
      <c r="I376" s="496" t="s">
        <v>26</v>
      </c>
      <c r="J376" s="504" t="s">
        <v>24</v>
      </c>
      <c r="K376" s="494" t="s">
        <v>25</v>
      </c>
      <c r="L376" s="496" t="s">
        <v>26</v>
      </c>
      <c r="M376" s="504" t="s">
        <v>24</v>
      </c>
      <c r="N376" s="494" t="s">
        <v>25</v>
      </c>
      <c r="O376" s="496" t="s">
        <v>26</v>
      </c>
      <c r="P376" s="504" t="s">
        <v>24</v>
      </c>
      <c r="Q376" s="494" t="s">
        <v>25</v>
      </c>
      <c r="R376" s="496" t="s">
        <v>26</v>
      </c>
      <c r="S376" s="504" t="s">
        <v>24</v>
      </c>
      <c r="T376" s="494" t="s">
        <v>25</v>
      </c>
      <c r="U376" s="496" t="s">
        <v>26</v>
      </c>
      <c r="V376" s="504" t="s">
        <v>24</v>
      </c>
      <c r="W376" s="494" t="s">
        <v>25</v>
      </c>
      <c r="X376" s="534" t="s">
        <v>26</v>
      </c>
      <c r="Y376" s="504" t="s">
        <v>24</v>
      </c>
      <c r="Z376" s="494" t="s">
        <v>25</v>
      </c>
      <c r="AA376" s="496" t="s">
        <v>26</v>
      </c>
      <c r="AB376" s="504" t="s">
        <v>24</v>
      </c>
      <c r="AC376" s="494" t="s">
        <v>25</v>
      </c>
      <c r="AD376" s="496" t="s">
        <v>26</v>
      </c>
      <c r="AE376" s="504" t="s">
        <v>24</v>
      </c>
      <c r="AF376" s="494" t="s">
        <v>25</v>
      </c>
      <c r="AG376" s="496" t="s">
        <v>26</v>
      </c>
      <c r="AH376" s="504" t="s">
        <v>24</v>
      </c>
      <c r="AI376" s="494" t="s">
        <v>25</v>
      </c>
      <c r="AJ376" s="496" t="s">
        <v>26</v>
      </c>
      <c r="AK376" s="504" t="s">
        <v>24</v>
      </c>
      <c r="AL376" s="494" t="s">
        <v>25</v>
      </c>
      <c r="AM376" s="496" t="s">
        <v>26</v>
      </c>
      <c r="AN376" s="504" t="s">
        <v>24</v>
      </c>
      <c r="AO376" s="494" t="s">
        <v>25</v>
      </c>
      <c r="AP376" s="496" t="s">
        <v>26</v>
      </c>
      <c r="AQ376" s="504" t="s">
        <v>24</v>
      </c>
      <c r="AR376" s="494" t="s">
        <v>25</v>
      </c>
      <c r="AS376" s="496" t="s">
        <v>26</v>
      </c>
      <c r="AT376" s="536" t="s">
        <v>24</v>
      </c>
      <c r="AU376" s="544" t="s">
        <v>27</v>
      </c>
    </row>
    <row r="377" spans="1:47" ht="25.5" customHeight="1">
      <c r="A377" s="539"/>
      <c r="B377" s="525"/>
      <c r="C377" s="525"/>
      <c r="D377" s="525"/>
      <c r="E377" s="525"/>
      <c r="F377" s="543"/>
      <c r="G377" s="505"/>
      <c r="H377" s="495"/>
      <c r="I377" s="497"/>
      <c r="J377" s="505"/>
      <c r="K377" s="495"/>
      <c r="L377" s="497"/>
      <c r="M377" s="505"/>
      <c r="N377" s="495"/>
      <c r="O377" s="497"/>
      <c r="P377" s="505"/>
      <c r="Q377" s="495"/>
      <c r="R377" s="497"/>
      <c r="S377" s="505"/>
      <c r="T377" s="495"/>
      <c r="U377" s="497"/>
      <c r="V377" s="505"/>
      <c r="W377" s="495"/>
      <c r="X377" s="535"/>
      <c r="Y377" s="505"/>
      <c r="Z377" s="495"/>
      <c r="AA377" s="497"/>
      <c r="AB377" s="505"/>
      <c r="AC377" s="495"/>
      <c r="AD377" s="497"/>
      <c r="AE377" s="505"/>
      <c r="AF377" s="495"/>
      <c r="AG377" s="497"/>
      <c r="AH377" s="505"/>
      <c r="AI377" s="495"/>
      <c r="AJ377" s="497"/>
      <c r="AK377" s="505"/>
      <c r="AL377" s="495"/>
      <c r="AM377" s="497"/>
      <c r="AN377" s="505"/>
      <c r="AO377" s="495"/>
      <c r="AP377" s="497"/>
      <c r="AQ377" s="505"/>
      <c r="AR377" s="495"/>
      <c r="AS377" s="497"/>
      <c r="AT377" s="537"/>
      <c r="AU377" s="545"/>
    </row>
    <row r="378" spans="1:47">
      <c r="A378" s="526" t="s">
        <v>204</v>
      </c>
      <c r="B378" s="540" t="s">
        <v>28</v>
      </c>
      <c r="C378" s="528">
        <v>369</v>
      </c>
      <c r="D378" s="530" t="s">
        <v>86</v>
      </c>
      <c r="E378" s="532" t="s">
        <v>360</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526"/>
      <c r="B379" s="540"/>
      <c r="C379" s="528"/>
      <c r="D379" s="530"/>
      <c r="E379" s="532"/>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526"/>
      <c r="B380" s="540"/>
      <c r="C380" s="528"/>
      <c r="D380" s="530"/>
      <c r="E380" s="532"/>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526"/>
      <c r="B381" s="540"/>
      <c r="C381" s="528"/>
      <c r="D381" s="530"/>
      <c r="E381" s="532"/>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526"/>
      <c r="B382" s="540"/>
      <c r="C382" s="528"/>
      <c r="D382" s="530"/>
      <c r="E382" s="532"/>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526"/>
      <c r="B383" s="540"/>
      <c r="C383" s="528"/>
      <c r="D383" s="530"/>
      <c r="E383" s="532"/>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526"/>
      <c r="B384" s="540"/>
      <c r="C384" s="528"/>
      <c r="D384" s="530"/>
      <c r="E384" s="532"/>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170">
        <v>200000</v>
      </c>
      <c r="AH384" s="168">
        <v>200000</v>
      </c>
      <c r="AI384" s="75">
        <f t="shared" si="448"/>
        <v>200000</v>
      </c>
      <c r="AJ384" s="104"/>
      <c r="AK384" s="168">
        <v>200000</v>
      </c>
      <c r="AL384" s="75">
        <f t="shared" si="449"/>
        <v>200000</v>
      </c>
      <c r="AM384" s="104"/>
      <c r="AN384" s="168">
        <v>200000</v>
      </c>
      <c r="AO384" s="169">
        <f t="shared" si="450"/>
        <v>200000</v>
      </c>
      <c r="AP384" s="170"/>
      <c r="AQ384" s="168">
        <v>200000</v>
      </c>
      <c r="AR384" s="169">
        <f t="shared" si="451"/>
        <v>200000</v>
      </c>
      <c r="AS384" s="170"/>
      <c r="AT384" s="98"/>
      <c r="AU384" s="79" t="s">
        <v>42</v>
      </c>
    </row>
    <row r="385" spans="1:47" ht="13.5" customHeight="1">
      <c r="A385" s="526"/>
      <c r="B385" s="540"/>
      <c r="C385" s="528"/>
      <c r="D385" s="530"/>
      <c r="E385" s="532"/>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527"/>
      <c r="B386" s="541"/>
      <c r="C386" s="529"/>
      <c r="D386" s="531"/>
      <c r="E386" s="533"/>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538" t="s">
        <v>22</v>
      </c>
      <c r="B387" s="524" t="s">
        <v>18</v>
      </c>
      <c r="C387" s="524" t="s">
        <v>19</v>
      </c>
      <c r="D387" s="524" t="s">
        <v>203</v>
      </c>
      <c r="E387" s="524" t="s">
        <v>21</v>
      </c>
      <c r="F387" s="542" t="s">
        <v>23</v>
      </c>
      <c r="G387" s="504" t="s">
        <v>24</v>
      </c>
      <c r="H387" s="494" t="s">
        <v>25</v>
      </c>
      <c r="I387" s="496" t="s">
        <v>26</v>
      </c>
      <c r="J387" s="504" t="s">
        <v>24</v>
      </c>
      <c r="K387" s="494" t="s">
        <v>25</v>
      </c>
      <c r="L387" s="496" t="s">
        <v>26</v>
      </c>
      <c r="M387" s="504" t="s">
        <v>24</v>
      </c>
      <c r="N387" s="494" t="s">
        <v>25</v>
      </c>
      <c r="O387" s="496" t="s">
        <v>26</v>
      </c>
      <c r="P387" s="504" t="s">
        <v>24</v>
      </c>
      <c r="Q387" s="494" t="s">
        <v>25</v>
      </c>
      <c r="R387" s="496" t="s">
        <v>26</v>
      </c>
      <c r="S387" s="504" t="s">
        <v>24</v>
      </c>
      <c r="T387" s="494" t="s">
        <v>25</v>
      </c>
      <c r="U387" s="496" t="s">
        <v>26</v>
      </c>
      <c r="V387" s="504" t="s">
        <v>24</v>
      </c>
      <c r="W387" s="494" t="s">
        <v>25</v>
      </c>
      <c r="X387" s="534" t="s">
        <v>26</v>
      </c>
      <c r="Y387" s="504" t="s">
        <v>24</v>
      </c>
      <c r="Z387" s="494" t="s">
        <v>25</v>
      </c>
      <c r="AA387" s="496" t="s">
        <v>26</v>
      </c>
      <c r="AB387" s="504" t="s">
        <v>24</v>
      </c>
      <c r="AC387" s="494" t="s">
        <v>25</v>
      </c>
      <c r="AD387" s="496" t="s">
        <v>26</v>
      </c>
      <c r="AE387" s="504" t="s">
        <v>24</v>
      </c>
      <c r="AF387" s="494" t="s">
        <v>25</v>
      </c>
      <c r="AG387" s="496" t="s">
        <v>26</v>
      </c>
      <c r="AH387" s="504" t="s">
        <v>24</v>
      </c>
      <c r="AI387" s="494" t="s">
        <v>25</v>
      </c>
      <c r="AJ387" s="496" t="s">
        <v>26</v>
      </c>
      <c r="AK387" s="504" t="s">
        <v>24</v>
      </c>
      <c r="AL387" s="494" t="s">
        <v>25</v>
      </c>
      <c r="AM387" s="496" t="s">
        <v>26</v>
      </c>
      <c r="AN387" s="504" t="s">
        <v>24</v>
      </c>
      <c r="AO387" s="494" t="s">
        <v>25</v>
      </c>
      <c r="AP387" s="496" t="s">
        <v>26</v>
      </c>
      <c r="AQ387" s="504" t="s">
        <v>24</v>
      </c>
      <c r="AR387" s="494" t="s">
        <v>25</v>
      </c>
      <c r="AS387" s="496" t="s">
        <v>26</v>
      </c>
      <c r="AT387" s="536" t="s">
        <v>24</v>
      </c>
      <c r="AU387" s="544" t="s">
        <v>27</v>
      </c>
    </row>
    <row r="388" spans="1:47" ht="15" customHeight="1">
      <c r="A388" s="539"/>
      <c r="B388" s="525"/>
      <c r="C388" s="525"/>
      <c r="D388" s="525"/>
      <c r="E388" s="525"/>
      <c r="F388" s="543"/>
      <c r="G388" s="505"/>
      <c r="H388" s="495"/>
      <c r="I388" s="497"/>
      <c r="J388" s="505"/>
      <c r="K388" s="495"/>
      <c r="L388" s="497"/>
      <c r="M388" s="505"/>
      <c r="N388" s="495"/>
      <c r="O388" s="497"/>
      <c r="P388" s="505"/>
      <c r="Q388" s="495"/>
      <c r="R388" s="497"/>
      <c r="S388" s="505"/>
      <c r="T388" s="495"/>
      <c r="U388" s="497"/>
      <c r="V388" s="505"/>
      <c r="W388" s="495"/>
      <c r="X388" s="535"/>
      <c r="Y388" s="505"/>
      <c r="Z388" s="495"/>
      <c r="AA388" s="497"/>
      <c r="AB388" s="505"/>
      <c r="AC388" s="495"/>
      <c r="AD388" s="497"/>
      <c r="AE388" s="505"/>
      <c r="AF388" s="495"/>
      <c r="AG388" s="497"/>
      <c r="AH388" s="505"/>
      <c r="AI388" s="495"/>
      <c r="AJ388" s="497"/>
      <c r="AK388" s="505"/>
      <c r="AL388" s="495"/>
      <c r="AM388" s="497"/>
      <c r="AN388" s="505"/>
      <c r="AO388" s="495"/>
      <c r="AP388" s="497"/>
      <c r="AQ388" s="505"/>
      <c r="AR388" s="495"/>
      <c r="AS388" s="497"/>
      <c r="AT388" s="537"/>
      <c r="AU388" s="545"/>
    </row>
    <row r="389" spans="1:47" ht="15" customHeight="1">
      <c r="A389" s="526" t="s">
        <v>204</v>
      </c>
      <c r="B389" s="540" t="s">
        <v>361</v>
      </c>
      <c r="C389" s="528">
        <v>2388</v>
      </c>
      <c r="D389" s="556" t="s">
        <v>362</v>
      </c>
      <c r="E389" s="532" t="s">
        <v>363</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526"/>
      <c r="B390" s="540"/>
      <c r="C390" s="528"/>
      <c r="D390" s="556"/>
      <c r="E390" s="532"/>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526"/>
      <c r="B391" s="540"/>
      <c r="C391" s="528"/>
      <c r="D391" s="556"/>
      <c r="E391" s="532"/>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526"/>
      <c r="B392" s="540"/>
      <c r="C392" s="528"/>
      <c r="D392" s="556"/>
      <c r="E392" s="532"/>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526"/>
      <c r="B393" s="540"/>
      <c r="C393" s="528"/>
      <c r="D393" s="556"/>
      <c r="E393" s="532"/>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526"/>
      <c r="B394" s="540"/>
      <c r="C394" s="528"/>
      <c r="D394" s="556"/>
      <c r="E394" s="532"/>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526"/>
      <c r="B395" s="540"/>
      <c r="C395" s="528"/>
      <c r="D395" s="556"/>
      <c r="E395" s="532"/>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526"/>
      <c r="B396" s="540"/>
      <c r="C396" s="528"/>
      <c r="D396" s="556"/>
      <c r="E396" s="532"/>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527"/>
      <c r="B397" s="541"/>
      <c r="C397" s="529"/>
      <c r="D397" s="559"/>
      <c r="E397" s="533"/>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538" t="s">
        <v>22</v>
      </c>
      <c r="B398" s="524" t="s">
        <v>18</v>
      </c>
      <c r="C398" s="524" t="s">
        <v>19</v>
      </c>
      <c r="D398" s="524" t="s">
        <v>203</v>
      </c>
      <c r="E398" s="524" t="s">
        <v>21</v>
      </c>
      <c r="F398" s="542" t="s">
        <v>23</v>
      </c>
      <c r="G398" s="504" t="s">
        <v>24</v>
      </c>
      <c r="H398" s="494" t="s">
        <v>25</v>
      </c>
      <c r="I398" s="496" t="s">
        <v>26</v>
      </c>
      <c r="J398" s="504" t="s">
        <v>24</v>
      </c>
      <c r="K398" s="494" t="s">
        <v>25</v>
      </c>
      <c r="L398" s="496" t="s">
        <v>26</v>
      </c>
      <c r="M398" s="504" t="s">
        <v>24</v>
      </c>
      <c r="N398" s="494" t="s">
        <v>25</v>
      </c>
      <c r="O398" s="496" t="s">
        <v>26</v>
      </c>
      <c r="P398" s="504" t="s">
        <v>24</v>
      </c>
      <c r="Q398" s="494" t="s">
        <v>25</v>
      </c>
      <c r="R398" s="496" t="s">
        <v>26</v>
      </c>
      <c r="S398" s="504" t="s">
        <v>24</v>
      </c>
      <c r="T398" s="494" t="s">
        <v>25</v>
      </c>
      <c r="U398" s="496" t="s">
        <v>26</v>
      </c>
      <c r="V398" s="504" t="s">
        <v>24</v>
      </c>
      <c r="W398" s="494" t="s">
        <v>25</v>
      </c>
      <c r="X398" s="534" t="s">
        <v>26</v>
      </c>
      <c r="Y398" s="504" t="s">
        <v>24</v>
      </c>
      <c r="Z398" s="494" t="s">
        <v>25</v>
      </c>
      <c r="AA398" s="496" t="s">
        <v>26</v>
      </c>
      <c r="AB398" s="504" t="s">
        <v>24</v>
      </c>
      <c r="AC398" s="494" t="s">
        <v>25</v>
      </c>
      <c r="AD398" s="496" t="s">
        <v>26</v>
      </c>
      <c r="AE398" s="504" t="s">
        <v>24</v>
      </c>
      <c r="AF398" s="494" t="s">
        <v>25</v>
      </c>
      <c r="AG398" s="496" t="s">
        <v>26</v>
      </c>
      <c r="AH398" s="504" t="s">
        <v>24</v>
      </c>
      <c r="AI398" s="494" t="s">
        <v>25</v>
      </c>
      <c r="AJ398" s="496" t="s">
        <v>26</v>
      </c>
      <c r="AK398" s="504" t="s">
        <v>24</v>
      </c>
      <c r="AL398" s="494" t="s">
        <v>25</v>
      </c>
      <c r="AM398" s="496" t="s">
        <v>26</v>
      </c>
      <c r="AN398" s="504" t="s">
        <v>24</v>
      </c>
      <c r="AO398" s="494" t="s">
        <v>25</v>
      </c>
      <c r="AP398" s="496" t="s">
        <v>26</v>
      </c>
      <c r="AQ398" s="504" t="s">
        <v>24</v>
      </c>
      <c r="AR398" s="494" t="s">
        <v>25</v>
      </c>
      <c r="AS398" s="496" t="s">
        <v>26</v>
      </c>
      <c r="AT398" s="536" t="s">
        <v>24</v>
      </c>
      <c r="AU398" s="544" t="s">
        <v>27</v>
      </c>
    </row>
    <row r="399" spans="1:47" ht="15" customHeight="1">
      <c r="A399" s="539"/>
      <c r="B399" s="525"/>
      <c r="C399" s="525"/>
      <c r="D399" s="525"/>
      <c r="E399" s="525"/>
      <c r="F399" s="543"/>
      <c r="G399" s="505"/>
      <c r="H399" s="495"/>
      <c r="I399" s="497"/>
      <c r="J399" s="505"/>
      <c r="K399" s="495"/>
      <c r="L399" s="497"/>
      <c r="M399" s="505"/>
      <c r="N399" s="495"/>
      <c r="O399" s="497"/>
      <c r="P399" s="505"/>
      <c r="Q399" s="495"/>
      <c r="R399" s="497"/>
      <c r="S399" s="505"/>
      <c r="T399" s="495"/>
      <c r="U399" s="497"/>
      <c r="V399" s="505"/>
      <c r="W399" s="495"/>
      <c r="X399" s="535"/>
      <c r="Y399" s="505"/>
      <c r="Z399" s="495"/>
      <c r="AA399" s="497"/>
      <c r="AB399" s="505"/>
      <c r="AC399" s="495"/>
      <c r="AD399" s="497"/>
      <c r="AE399" s="505"/>
      <c r="AF399" s="495"/>
      <c r="AG399" s="497"/>
      <c r="AH399" s="505"/>
      <c r="AI399" s="495"/>
      <c r="AJ399" s="497"/>
      <c r="AK399" s="505"/>
      <c r="AL399" s="495"/>
      <c r="AM399" s="497"/>
      <c r="AN399" s="505"/>
      <c r="AO399" s="495"/>
      <c r="AP399" s="497"/>
      <c r="AQ399" s="505"/>
      <c r="AR399" s="495"/>
      <c r="AS399" s="497"/>
      <c r="AT399" s="537"/>
      <c r="AU399" s="545"/>
    </row>
    <row r="400" spans="1:47" ht="15" customHeight="1">
      <c r="A400" s="526" t="s">
        <v>204</v>
      </c>
      <c r="B400" s="540" t="s">
        <v>364</v>
      </c>
      <c r="C400" s="528">
        <v>2092</v>
      </c>
      <c r="D400" s="530" t="s">
        <v>365</v>
      </c>
      <c r="E400" s="532" t="s">
        <v>366</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526"/>
      <c r="B401" s="540"/>
      <c r="C401" s="528"/>
      <c r="D401" s="530"/>
      <c r="E401" s="532"/>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526"/>
      <c r="B402" s="540"/>
      <c r="C402" s="528"/>
      <c r="D402" s="530"/>
      <c r="E402" s="532"/>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526"/>
      <c r="B403" s="540"/>
      <c r="C403" s="528"/>
      <c r="D403" s="530"/>
      <c r="E403" s="532"/>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526"/>
      <c r="B404" s="540"/>
      <c r="C404" s="528"/>
      <c r="D404" s="530"/>
      <c r="E404" s="532"/>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526"/>
      <c r="B405" s="540"/>
      <c r="C405" s="528"/>
      <c r="D405" s="530"/>
      <c r="E405" s="532"/>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526"/>
      <c r="B406" s="540"/>
      <c r="C406" s="528"/>
      <c r="D406" s="530"/>
      <c r="E406" s="532"/>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526"/>
      <c r="B407" s="540"/>
      <c r="C407" s="528"/>
      <c r="D407" s="530"/>
      <c r="E407" s="532"/>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527"/>
      <c r="B408" s="541"/>
      <c r="C408" s="529"/>
      <c r="D408" s="531"/>
      <c r="E408" s="533"/>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489" t="s">
        <v>22</v>
      </c>
      <c r="B409" s="491" t="s">
        <v>18</v>
      </c>
      <c r="C409" s="491" t="s">
        <v>19</v>
      </c>
      <c r="D409" s="491" t="s">
        <v>203</v>
      </c>
      <c r="E409" s="491" t="s">
        <v>21</v>
      </c>
      <c r="F409" s="550" t="s">
        <v>23</v>
      </c>
      <c r="G409" s="466" t="s">
        <v>24</v>
      </c>
      <c r="H409" s="468" t="s">
        <v>25</v>
      </c>
      <c r="I409" s="470" t="s">
        <v>26</v>
      </c>
      <c r="J409" s="466" t="s">
        <v>24</v>
      </c>
      <c r="K409" s="468" t="s">
        <v>25</v>
      </c>
      <c r="L409" s="470" t="s">
        <v>26</v>
      </c>
      <c r="M409" s="466" t="s">
        <v>24</v>
      </c>
      <c r="N409" s="468" t="s">
        <v>25</v>
      </c>
      <c r="O409" s="470" t="s">
        <v>26</v>
      </c>
      <c r="P409" s="466" t="s">
        <v>24</v>
      </c>
      <c r="Q409" s="468" t="s">
        <v>25</v>
      </c>
      <c r="R409" s="470" t="s">
        <v>26</v>
      </c>
      <c r="S409" s="466" t="s">
        <v>24</v>
      </c>
      <c r="T409" s="468" t="s">
        <v>25</v>
      </c>
      <c r="U409" s="470" t="s">
        <v>26</v>
      </c>
      <c r="V409" s="466" t="s">
        <v>24</v>
      </c>
      <c r="W409" s="468" t="s">
        <v>25</v>
      </c>
      <c r="X409" s="551" t="s">
        <v>26</v>
      </c>
      <c r="Y409" s="466" t="s">
        <v>24</v>
      </c>
      <c r="Z409" s="468" t="s">
        <v>25</v>
      </c>
      <c r="AA409" s="470" t="s">
        <v>26</v>
      </c>
      <c r="AB409" s="466" t="s">
        <v>24</v>
      </c>
      <c r="AC409" s="468" t="s">
        <v>25</v>
      </c>
      <c r="AD409" s="470" t="s">
        <v>26</v>
      </c>
      <c r="AE409" s="466" t="s">
        <v>24</v>
      </c>
      <c r="AF409" s="468" t="s">
        <v>25</v>
      </c>
      <c r="AG409" s="470" t="s">
        <v>26</v>
      </c>
      <c r="AH409" s="466" t="s">
        <v>24</v>
      </c>
      <c r="AI409" s="468" t="s">
        <v>25</v>
      </c>
      <c r="AJ409" s="470" t="s">
        <v>26</v>
      </c>
      <c r="AK409" s="466" t="s">
        <v>24</v>
      </c>
      <c r="AL409" s="468" t="s">
        <v>25</v>
      </c>
      <c r="AM409" s="470" t="s">
        <v>26</v>
      </c>
      <c r="AN409" s="466" t="s">
        <v>24</v>
      </c>
      <c r="AO409" s="468" t="s">
        <v>25</v>
      </c>
      <c r="AP409" s="470" t="s">
        <v>26</v>
      </c>
      <c r="AQ409" s="466" t="s">
        <v>24</v>
      </c>
      <c r="AR409" s="468" t="s">
        <v>25</v>
      </c>
      <c r="AS409" s="470" t="s">
        <v>26</v>
      </c>
      <c r="AT409" s="555" t="s">
        <v>24</v>
      </c>
      <c r="AU409" s="472" t="s">
        <v>27</v>
      </c>
    </row>
    <row r="410" spans="1:47" ht="15" customHeight="1">
      <c r="A410" s="539"/>
      <c r="B410" s="525"/>
      <c r="C410" s="525"/>
      <c r="D410" s="525"/>
      <c r="E410" s="525"/>
      <c r="F410" s="543"/>
      <c r="G410" s="505"/>
      <c r="H410" s="495"/>
      <c r="I410" s="497"/>
      <c r="J410" s="505"/>
      <c r="K410" s="495"/>
      <c r="L410" s="497"/>
      <c r="M410" s="505"/>
      <c r="N410" s="495"/>
      <c r="O410" s="497"/>
      <c r="P410" s="505"/>
      <c r="Q410" s="495"/>
      <c r="R410" s="497"/>
      <c r="S410" s="505"/>
      <c r="T410" s="495"/>
      <c r="U410" s="497"/>
      <c r="V410" s="505"/>
      <c r="W410" s="495"/>
      <c r="X410" s="535"/>
      <c r="Y410" s="505"/>
      <c r="Z410" s="495"/>
      <c r="AA410" s="497"/>
      <c r="AB410" s="505"/>
      <c r="AC410" s="495"/>
      <c r="AD410" s="497"/>
      <c r="AE410" s="505"/>
      <c r="AF410" s="495"/>
      <c r="AG410" s="497"/>
      <c r="AH410" s="505"/>
      <c r="AI410" s="495"/>
      <c r="AJ410" s="497"/>
      <c r="AK410" s="505"/>
      <c r="AL410" s="495"/>
      <c r="AM410" s="497"/>
      <c r="AN410" s="505"/>
      <c r="AO410" s="495"/>
      <c r="AP410" s="497"/>
      <c r="AQ410" s="505"/>
      <c r="AR410" s="495"/>
      <c r="AS410" s="497"/>
      <c r="AT410" s="537"/>
      <c r="AU410" s="545"/>
    </row>
    <row r="411" spans="1:47" ht="15" customHeight="1">
      <c r="A411" s="526" t="s">
        <v>208</v>
      </c>
      <c r="B411" s="540" t="s">
        <v>367</v>
      </c>
      <c r="C411" s="528">
        <v>2083</v>
      </c>
      <c r="D411" s="556" t="s">
        <v>368</v>
      </c>
      <c r="E411" s="532" t="s">
        <v>369</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526"/>
      <c r="B412" s="540"/>
      <c r="C412" s="528"/>
      <c r="D412" s="556"/>
      <c r="E412" s="532"/>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552">
        <f>SUM(G411:G422,J411:J422,M411:M422,P411:P422,S411:S422,AT411:AT422,V411:V422,Y411:Y422,AB411:AB422,AE411:AE422,AH411:AH422,AK411:AK422,AN411:AN422,AQ411:AQ422)</f>
        <v>0</v>
      </c>
    </row>
    <row r="413" spans="1:47" ht="14.45" customHeight="1">
      <c r="A413" s="526"/>
      <c r="B413" s="540"/>
      <c r="C413" s="528"/>
      <c r="D413" s="556"/>
      <c r="E413" s="532"/>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552"/>
    </row>
    <row r="414" spans="1:47" ht="14.45" customHeight="1">
      <c r="A414" s="526"/>
      <c r="B414" s="540"/>
      <c r="C414" s="528"/>
      <c r="D414" s="556"/>
      <c r="E414" s="532"/>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526"/>
      <c r="B415" s="540"/>
      <c r="C415" s="528"/>
      <c r="D415" s="556"/>
      <c r="E415" s="532"/>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552">
        <f>SUM(H411:H422,K411:K422,N411:N422,Q411:Q422,T411:T422,W411:W422,Z411:Z422,AC411:AC422,AF411:AF422,AI411:AI422,AL411:AL422,AO411:AO422,AR411:AR422)</f>
        <v>0</v>
      </c>
    </row>
    <row r="416" spans="1:47" ht="14.45" customHeight="1">
      <c r="A416" s="526"/>
      <c r="B416" s="540"/>
      <c r="C416" s="528"/>
      <c r="D416" s="556"/>
      <c r="E416" s="532"/>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552"/>
    </row>
    <row r="417" spans="1:47" ht="14.45" customHeight="1">
      <c r="A417" s="526"/>
      <c r="B417" s="540"/>
      <c r="C417" s="528"/>
      <c r="D417" s="556"/>
      <c r="E417" s="532"/>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526"/>
      <c r="B418" s="540"/>
      <c r="C418" s="528"/>
      <c r="D418" s="556"/>
      <c r="E418" s="532"/>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552">
        <f>SUM(I411:I422,L411:L422,O411:O422,R411:R422,U411:U422,X411:X422,AA411:AA422,AD411:AD422,AG411:AG422,AJ411:AJ422,AM411:AM422,AP411:AP422,AS411:AS422)</f>
        <v>0</v>
      </c>
    </row>
    <row r="419" spans="1:47" ht="14.45" customHeight="1">
      <c r="A419" s="526"/>
      <c r="B419" s="540"/>
      <c r="C419" s="528"/>
      <c r="D419" s="556"/>
      <c r="E419" s="532"/>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552"/>
    </row>
    <row r="420" spans="1:47" ht="14.45" customHeight="1">
      <c r="A420" s="526"/>
      <c r="B420" s="540"/>
      <c r="C420" s="528"/>
      <c r="D420" s="556"/>
      <c r="E420" s="532"/>
      <c r="F420" s="91" t="s">
        <v>311</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526"/>
      <c r="B421" s="540"/>
      <c r="C421" s="528"/>
      <c r="D421" s="556"/>
      <c r="E421" s="532"/>
      <c r="F421" s="91" t="s">
        <v>312</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554" t="e">
        <f>AU418/AU412</f>
        <v>#DIV/0!</v>
      </c>
    </row>
    <row r="422" spans="1:47" ht="15" customHeight="1">
      <c r="A422" s="526"/>
      <c r="B422" s="540"/>
      <c r="C422" s="528"/>
      <c r="D422" s="556"/>
      <c r="E422" s="532"/>
      <c r="F422" s="91" t="s">
        <v>313</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554"/>
    </row>
    <row r="423" spans="1:47" ht="15" customHeight="1">
      <c r="A423" s="539" t="s">
        <v>22</v>
      </c>
      <c r="B423" s="525" t="s">
        <v>18</v>
      </c>
      <c r="C423" s="525" t="s">
        <v>19</v>
      </c>
      <c r="D423" s="525" t="s">
        <v>203</v>
      </c>
      <c r="E423" s="525" t="s">
        <v>21</v>
      </c>
      <c r="F423" s="543" t="s">
        <v>23</v>
      </c>
      <c r="G423" s="505" t="s">
        <v>24</v>
      </c>
      <c r="H423" s="495" t="s">
        <v>25</v>
      </c>
      <c r="I423" s="497" t="s">
        <v>26</v>
      </c>
      <c r="J423" s="505" t="s">
        <v>24</v>
      </c>
      <c r="K423" s="495" t="s">
        <v>25</v>
      </c>
      <c r="L423" s="497" t="s">
        <v>26</v>
      </c>
      <c r="M423" s="505" t="s">
        <v>24</v>
      </c>
      <c r="N423" s="495" t="s">
        <v>25</v>
      </c>
      <c r="O423" s="497" t="s">
        <v>26</v>
      </c>
      <c r="P423" s="505" t="s">
        <v>24</v>
      </c>
      <c r="Q423" s="495" t="s">
        <v>25</v>
      </c>
      <c r="R423" s="497" t="s">
        <v>26</v>
      </c>
      <c r="S423" s="505" t="s">
        <v>24</v>
      </c>
      <c r="T423" s="495" t="s">
        <v>25</v>
      </c>
      <c r="U423" s="497" t="s">
        <v>26</v>
      </c>
      <c r="V423" s="505" t="s">
        <v>24</v>
      </c>
      <c r="W423" s="495" t="s">
        <v>25</v>
      </c>
      <c r="X423" s="535" t="s">
        <v>26</v>
      </c>
      <c r="Y423" s="505" t="s">
        <v>24</v>
      </c>
      <c r="Z423" s="495" t="s">
        <v>25</v>
      </c>
      <c r="AA423" s="497" t="s">
        <v>26</v>
      </c>
      <c r="AB423" s="505" t="s">
        <v>24</v>
      </c>
      <c r="AC423" s="495" t="s">
        <v>25</v>
      </c>
      <c r="AD423" s="497" t="s">
        <v>26</v>
      </c>
      <c r="AE423" s="505" t="s">
        <v>24</v>
      </c>
      <c r="AF423" s="495" t="s">
        <v>25</v>
      </c>
      <c r="AG423" s="497" t="s">
        <v>26</v>
      </c>
      <c r="AH423" s="505" t="s">
        <v>24</v>
      </c>
      <c r="AI423" s="495" t="s">
        <v>25</v>
      </c>
      <c r="AJ423" s="497" t="s">
        <v>26</v>
      </c>
      <c r="AK423" s="505" t="s">
        <v>24</v>
      </c>
      <c r="AL423" s="495" t="s">
        <v>25</v>
      </c>
      <c r="AM423" s="497" t="s">
        <v>26</v>
      </c>
      <c r="AN423" s="505" t="s">
        <v>24</v>
      </c>
      <c r="AO423" s="495" t="s">
        <v>25</v>
      </c>
      <c r="AP423" s="497" t="s">
        <v>26</v>
      </c>
      <c r="AQ423" s="505" t="s">
        <v>24</v>
      </c>
      <c r="AR423" s="495" t="s">
        <v>25</v>
      </c>
      <c r="AS423" s="497" t="s">
        <v>26</v>
      </c>
      <c r="AT423" s="537" t="s">
        <v>24</v>
      </c>
      <c r="AU423" s="545" t="s">
        <v>27</v>
      </c>
    </row>
    <row r="424" spans="1:47" ht="15" customHeight="1">
      <c r="A424" s="539"/>
      <c r="B424" s="525"/>
      <c r="C424" s="525"/>
      <c r="D424" s="525"/>
      <c r="E424" s="525"/>
      <c r="F424" s="543"/>
      <c r="G424" s="505"/>
      <c r="H424" s="495"/>
      <c r="I424" s="497"/>
      <c r="J424" s="505"/>
      <c r="K424" s="495"/>
      <c r="L424" s="497"/>
      <c r="M424" s="505"/>
      <c r="N424" s="495"/>
      <c r="O424" s="497"/>
      <c r="P424" s="505"/>
      <c r="Q424" s="495"/>
      <c r="R424" s="497"/>
      <c r="S424" s="505"/>
      <c r="T424" s="495"/>
      <c r="U424" s="497"/>
      <c r="V424" s="505"/>
      <c r="W424" s="495"/>
      <c r="X424" s="535"/>
      <c r="Y424" s="505"/>
      <c r="Z424" s="495"/>
      <c r="AA424" s="497"/>
      <c r="AB424" s="505"/>
      <c r="AC424" s="495"/>
      <c r="AD424" s="497"/>
      <c r="AE424" s="505"/>
      <c r="AF424" s="495"/>
      <c r="AG424" s="497"/>
      <c r="AH424" s="505"/>
      <c r="AI424" s="495"/>
      <c r="AJ424" s="497"/>
      <c r="AK424" s="505"/>
      <c r="AL424" s="495"/>
      <c r="AM424" s="497"/>
      <c r="AN424" s="505"/>
      <c r="AO424" s="495"/>
      <c r="AP424" s="497"/>
      <c r="AQ424" s="505"/>
      <c r="AR424" s="495"/>
      <c r="AS424" s="497"/>
      <c r="AT424" s="537"/>
      <c r="AU424" s="545"/>
    </row>
    <row r="425" spans="1:47" ht="15" customHeight="1">
      <c r="A425" s="526" t="s">
        <v>370</v>
      </c>
      <c r="B425" s="540" t="s">
        <v>371</v>
      </c>
      <c r="C425" s="528">
        <v>1964</v>
      </c>
      <c r="D425" s="556">
        <v>3030</v>
      </c>
      <c r="E425" s="532" t="s">
        <v>372</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526"/>
      <c r="B426" s="540"/>
      <c r="C426" s="528"/>
      <c r="D426" s="556"/>
      <c r="E426" s="532"/>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552">
        <f>SUM(G425:G436,J425:J436,M425:M436,P425:P436,S425:S436,AT425:AT436,V425:V436,Y425:Y436,AB425:AB436,AE425:AE436,AH425:AH436,AK425:AK436,AN425:AN436,AQ425:AQ436)</f>
        <v>0</v>
      </c>
    </row>
    <row r="427" spans="1:47" ht="14.45" customHeight="1">
      <c r="A427" s="526"/>
      <c r="B427" s="540"/>
      <c r="C427" s="528"/>
      <c r="D427" s="556"/>
      <c r="E427" s="532"/>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552"/>
    </row>
    <row r="428" spans="1:47" ht="14.45" customHeight="1">
      <c r="A428" s="526"/>
      <c r="B428" s="540"/>
      <c r="C428" s="528"/>
      <c r="D428" s="556"/>
      <c r="E428" s="532"/>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526"/>
      <c r="B429" s="540"/>
      <c r="C429" s="528"/>
      <c r="D429" s="556"/>
      <c r="E429" s="532"/>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552">
        <f>SUM(H425:H436,K425:K436,N425:N436,Q425:Q436,T425:T436,W425:W436,Z425:Z436,AC425:AC436,AF425:AF436,AI425:AI436,AL425:AL436,AO425:AO436,AR425:AR436)</f>
        <v>0</v>
      </c>
    </row>
    <row r="430" spans="1:47" ht="14.45" customHeight="1">
      <c r="A430" s="526"/>
      <c r="B430" s="540"/>
      <c r="C430" s="528"/>
      <c r="D430" s="556"/>
      <c r="E430" s="532"/>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552"/>
    </row>
    <row r="431" spans="1:47" ht="14.45" customHeight="1">
      <c r="A431" s="526"/>
      <c r="B431" s="540"/>
      <c r="C431" s="528"/>
      <c r="D431" s="556"/>
      <c r="E431" s="532"/>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526"/>
      <c r="B432" s="540"/>
      <c r="C432" s="528"/>
      <c r="D432" s="556"/>
      <c r="E432" s="532"/>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552">
        <f>SUM(I425:I436,L425:L436,O425:O436,R425:R436,U425:U436,X425:X436,AA425:AA436,AD425:AD436,AG425:AG436,AJ425:AJ436,AM425:AM436,AP425:AP436,AS425:AS436)</f>
        <v>0</v>
      </c>
    </row>
    <row r="433" spans="1:47" ht="14.45" customHeight="1">
      <c r="A433" s="526"/>
      <c r="B433" s="540"/>
      <c r="C433" s="528"/>
      <c r="D433" s="556"/>
      <c r="E433" s="532"/>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552"/>
    </row>
    <row r="434" spans="1:47" ht="14.45" customHeight="1">
      <c r="A434" s="526"/>
      <c r="B434" s="540"/>
      <c r="C434" s="528"/>
      <c r="D434" s="556"/>
      <c r="E434" s="532"/>
      <c r="F434" s="91" t="s">
        <v>311</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526"/>
      <c r="B435" s="540"/>
      <c r="C435" s="528"/>
      <c r="D435" s="556"/>
      <c r="E435" s="532"/>
      <c r="F435" s="91" t="s">
        <v>312</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554" t="e">
        <f>AU432/AU426</f>
        <v>#DIV/0!</v>
      </c>
    </row>
    <row r="436" spans="1:47" ht="15" customHeight="1">
      <c r="A436" s="473"/>
      <c r="B436" s="476"/>
      <c r="C436" s="479"/>
      <c r="D436" s="562"/>
      <c r="E436" s="485"/>
      <c r="F436" s="93" t="s">
        <v>313</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567"/>
    </row>
    <row r="437" spans="1:47" ht="15" customHeight="1">
      <c r="A437" s="538" t="s">
        <v>22</v>
      </c>
      <c r="B437" s="524" t="s">
        <v>18</v>
      </c>
      <c r="C437" s="524" t="s">
        <v>19</v>
      </c>
      <c r="D437" s="524" t="s">
        <v>203</v>
      </c>
      <c r="E437" s="524" t="s">
        <v>21</v>
      </c>
      <c r="F437" s="542" t="s">
        <v>23</v>
      </c>
      <c r="G437" s="504" t="s">
        <v>24</v>
      </c>
      <c r="H437" s="494" t="s">
        <v>25</v>
      </c>
      <c r="I437" s="496" t="s">
        <v>26</v>
      </c>
      <c r="J437" s="504" t="s">
        <v>24</v>
      </c>
      <c r="K437" s="494" t="s">
        <v>25</v>
      </c>
      <c r="L437" s="496" t="s">
        <v>26</v>
      </c>
      <c r="M437" s="504" t="s">
        <v>24</v>
      </c>
      <c r="N437" s="494" t="s">
        <v>25</v>
      </c>
      <c r="O437" s="496" t="s">
        <v>26</v>
      </c>
      <c r="P437" s="504" t="s">
        <v>24</v>
      </c>
      <c r="Q437" s="494" t="s">
        <v>25</v>
      </c>
      <c r="R437" s="496" t="s">
        <v>26</v>
      </c>
      <c r="S437" s="504" t="s">
        <v>24</v>
      </c>
      <c r="T437" s="494" t="s">
        <v>25</v>
      </c>
      <c r="U437" s="496" t="s">
        <v>26</v>
      </c>
      <c r="V437" s="504" t="s">
        <v>24</v>
      </c>
      <c r="W437" s="494" t="s">
        <v>25</v>
      </c>
      <c r="X437" s="534" t="s">
        <v>26</v>
      </c>
      <c r="Y437" s="504" t="s">
        <v>24</v>
      </c>
      <c r="Z437" s="494" t="s">
        <v>25</v>
      </c>
      <c r="AA437" s="496" t="s">
        <v>26</v>
      </c>
      <c r="AB437" s="504" t="s">
        <v>24</v>
      </c>
      <c r="AC437" s="494" t="s">
        <v>25</v>
      </c>
      <c r="AD437" s="496" t="s">
        <v>26</v>
      </c>
      <c r="AE437" s="504" t="s">
        <v>24</v>
      </c>
      <c r="AF437" s="494" t="s">
        <v>25</v>
      </c>
      <c r="AG437" s="496" t="s">
        <v>26</v>
      </c>
      <c r="AH437" s="504" t="s">
        <v>24</v>
      </c>
      <c r="AI437" s="494" t="s">
        <v>25</v>
      </c>
      <c r="AJ437" s="496" t="s">
        <v>26</v>
      </c>
      <c r="AK437" s="504" t="s">
        <v>24</v>
      </c>
      <c r="AL437" s="494" t="s">
        <v>25</v>
      </c>
      <c r="AM437" s="496" t="s">
        <v>26</v>
      </c>
      <c r="AN437" s="504" t="s">
        <v>24</v>
      </c>
      <c r="AO437" s="494" t="s">
        <v>25</v>
      </c>
      <c r="AP437" s="496" t="s">
        <v>26</v>
      </c>
      <c r="AQ437" s="504" t="s">
        <v>24</v>
      </c>
      <c r="AR437" s="494" t="s">
        <v>25</v>
      </c>
      <c r="AS437" s="496" t="s">
        <v>26</v>
      </c>
      <c r="AT437" s="536" t="s">
        <v>24</v>
      </c>
      <c r="AU437" s="544" t="s">
        <v>27</v>
      </c>
    </row>
    <row r="438" spans="1:47" ht="15" customHeight="1">
      <c r="A438" s="539"/>
      <c r="B438" s="525"/>
      <c r="C438" s="525"/>
      <c r="D438" s="525"/>
      <c r="E438" s="525"/>
      <c r="F438" s="543"/>
      <c r="G438" s="505"/>
      <c r="H438" s="495"/>
      <c r="I438" s="497"/>
      <c r="J438" s="505"/>
      <c r="K438" s="495"/>
      <c r="L438" s="497"/>
      <c r="M438" s="505"/>
      <c r="N438" s="495"/>
      <c r="O438" s="497"/>
      <c r="P438" s="505"/>
      <c r="Q438" s="495"/>
      <c r="R438" s="497"/>
      <c r="S438" s="505"/>
      <c r="T438" s="495"/>
      <c r="U438" s="497"/>
      <c r="V438" s="505"/>
      <c r="W438" s="495"/>
      <c r="X438" s="535"/>
      <c r="Y438" s="505"/>
      <c r="Z438" s="495"/>
      <c r="AA438" s="497"/>
      <c r="AB438" s="505"/>
      <c r="AC438" s="495"/>
      <c r="AD438" s="497"/>
      <c r="AE438" s="505"/>
      <c r="AF438" s="495"/>
      <c r="AG438" s="497"/>
      <c r="AH438" s="505"/>
      <c r="AI438" s="495"/>
      <c r="AJ438" s="497"/>
      <c r="AK438" s="505"/>
      <c r="AL438" s="495"/>
      <c r="AM438" s="497"/>
      <c r="AN438" s="505"/>
      <c r="AO438" s="495"/>
      <c r="AP438" s="497"/>
      <c r="AQ438" s="505"/>
      <c r="AR438" s="495"/>
      <c r="AS438" s="497"/>
      <c r="AT438" s="537"/>
      <c r="AU438" s="545"/>
    </row>
    <row r="439" spans="1:47" ht="15" customHeight="1">
      <c r="A439" s="526" t="s">
        <v>204</v>
      </c>
      <c r="B439" s="540" t="s">
        <v>373</v>
      </c>
      <c r="C439" s="528">
        <v>2268</v>
      </c>
      <c r="D439" s="556" t="s">
        <v>374</v>
      </c>
      <c r="E439" s="532" t="s">
        <v>375</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526"/>
      <c r="B440" s="540"/>
      <c r="C440" s="528"/>
      <c r="D440" s="556"/>
      <c r="E440" s="532"/>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526"/>
      <c r="B441" s="540"/>
      <c r="C441" s="528"/>
      <c r="D441" s="556"/>
      <c r="E441" s="532"/>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526"/>
      <c r="B442" s="540"/>
      <c r="C442" s="528"/>
      <c r="D442" s="556"/>
      <c r="E442" s="532"/>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526"/>
      <c r="B443" s="540"/>
      <c r="C443" s="528"/>
      <c r="D443" s="556"/>
      <c r="E443" s="532"/>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526"/>
      <c r="B444" s="540"/>
      <c r="C444" s="528"/>
      <c r="D444" s="556"/>
      <c r="E444" s="532"/>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526"/>
      <c r="B445" s="540"/>
      <c r="C445" s="528"/>
      <c r="D445" s="556"/>
      <c r="E445" s="532"/>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526"/>
      <c r="B446" s="540"/>
      <c r="C446" s="528"/>
      <c r="D446" s="556"/>
      <c r="E446" s="532"/>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527"/>
      <c r="B447" s="541"/>
      <c r="C447" s="529"/>
      <c r="D447" s="559"/>
      <c r="E447" s="533"/>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538" t="s">
        <v>22</v>
      </c>
      <c r="B448" s="524" t="s">
        <v>18</v>
      </c>
      <c r="C448" s="524" t="s">
        <v>19</v>
      </c>
      <c r="D448" s="524" t="s">
        <v>203</v>
      </c>
      <c r="E448" s="524" t="s">
        <v>21</v>
      </c>
      <c r="F448" s="542" t="s">
        <v>23</v>
      </c>
      <c r="G448" s="504" t="s">
        <v>24</v>
      </c>
      <c r="H448" s="494" t="s">
        <v>25</v>
      </c>
      <c r="I448" s="496" t="s">
        <v>26</v>
      </c>
      <c r="J448" s="504" t="s">
        <v>24</v>
      </c>
      <c r="K448" s="494" t="s">
        <v>25</v>
      </c>
      <c r="L448" s="496" t="s">
        <v>26</v>
      </c>
      <c r="M448" s="504" t="s">
        <v>24</v>
      </c>
      <c r="N448" s="494" t="s">
        <v>25</v>
      </c>
      <c r="O448" s="496" t="s">
        <v>26</v>
      </c>
      <c r="P448" s="504" t="s">
        <v>24</v>
      </c>
      <c r="Q448" s="494" t="s">
        <v>25</v>
      </c>
      <c r="R448" s="496" t="s">
        <v>26</v>
      </c>
      <c r="S448" s="504" t="s">
        <v>24</v>
      </c>
      <c r="T448" s="494" t="s">
        <v>25</v>
      </c>
      <c r="U448" s="496" t="s">
        <v>26</v>
      </c>
      <c r="V448" s="504" t="s">
        <v>24</v>
      </c>
      <c r="W448" s="494" t="s">
        <v>25</v>
      </c>
      <c r="X448" s="534" t="s">
        <v>26</v>
      </c>
      <c r="Y448" s="504" t="s">
        <v>24</v>
      </c>
      <c r="Z448" s="494" t="s">
        <v>25</v>
      </c>
      <c r="AA448" s="496" t="s">
        <v>26</v>
      </c>
      <c r="AB448" s="504" t="s">
        <v>24</v>
      </c>
      <c r="AC448" s="494" t="s">
        <v>25</v>
      </c>
      <c r="AD448" s="496" t="s">
        <v>26</v>
      </c>
      <c r="AE448" s="504" t="s">
        <v>24</v>
      </c>
      <c r="AF448" s="494" t="s">
        <v>25</v>
      </c>
      <c r="AG448" s="496" t="s">
        <v>26</v>
      </c>
      <c r="AH448" s="504" t="s">
        <v>24</v>
      </c>
      <c r="AI448" s="494" t="s">
        <v>25</v>
      </c>
      <c r="AJ448" s="496" t="s">
        <v>26</v>
      </c>
      <c r="AK448" s="504" t="s">
        <v>24</v>
      </c>
      <c r="AL448" s="494" t="s">
        <v>25</v>
      </c>
      <c r="AM448" s="496" t="s">
        <v>26</v>
      </c>
      <c r="AN448" s="504" t="s">
        <v>24</v>
      </c>
      <c r="AO448" s="494" t="s">
        <v>25</v>
      </c>
      <c r="AP448" s="496" t="s">
        <v>26</v>
      </c>
      <c r="AQ448" s="504" t="s">
        <v>24</v>
      </c>
      <c r="AR448" s="494" t="s">
        <v>25</v>
      </c>
      <c r="AS448" s="496" t="s">
        <v>26</v>
      </c>
      <c r="AT448" s="536" t="s">
        <v>24</v>
      </c>
      <c r="AU448" s="544" t="s">
        <v>27</v>
      </c>
    </row>
    <row r="449" spans="1:47" ht="15" customHeight="1">
      <c r="A449" s="539"/>
      <c r="B449" s="525"/>
      <c r="C449" s="525"/>
      <c r="D449" s="525"/>
      <c r="E449" s="525"/>
      <c r="F449" s="543"/>
      <c r="G449" s="505"/>
      <c r="H449" s="495"/>
      <c r="I449" s="497"/>
      <c r="J449" s="505"/>
      <c r="K449" s="495"/>
      <c r="L449" s="497"/>
      <c r="M449" s="505"/>
      <c r="N449" s="495"/>
      <c r="O449" s="497"/>
      <c r="P449" s="505"/>
      <c r="Q449" s="495"/>
      <c r="R449" s="497"/>
      <c r="S449" s="505"/>
      <c r="T449" s="495"/>
      <c r="U449" s="497"/>
      <c r="V449" s="505"/>
      <c r="W449" s="495"/>
      <c r="X449" s="535"/>
      <c r="Y449" s="505"/>
      <c r="Z449" s="495"/>
      <c r="AA449" s="497"/>
      <c r="AB449" s="505"/>
      <c r="AC449" s="495"/>
      <c r="AD449" s="497"/>
      <c r="AE449" s="505"/>
      <c r="AF449" s="495"/>
      <c r="AG449" s="497"/>
      <c r="AH449" s="505"/>
      <c r="AI449" s="495"/>
      <c r="AJ449" s="497"/>
      <c r="AK449" s="505"/>
      <c r="AL449" s="495"/>
      <c r="AM449" s="497"/>
      <c r="AN449" s="505"/>
      <c r="AO449" s="495"/>
      <c r="AP449" s="497"/>
      <c r="AQ449" s="505"/>
      <c r="AR449" s="495"/>
      <c r="AS449" s="497"/>
      <c r="AT449" s="537"/>
      <c r="AU449" s="545"/>
    </row>
    <row r="450" spans="1:47" ht="15" customHeight="1">
      <c r="A450" s="526" t="s">
        <v>204</v>
      </c>
      <c r="B450" s="540" t="s">
        <v>376</v>
      </c>
      <c r="C450" s="528">
        <v>3233</v>
      </c>
      <c r="D450" s="530" t="s">
        <v>377</v>
      </c>
      <c r="E450" s="532" t="s">
        <v>378</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526"/>
      <c r="B451" s="540"/>
      <c r="C451" s="528"/>
      <c r="D451" s="530"/>
      <c r="E451" s="532"/>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526"/>
      <c r="B452" s="540"/>
      <c r="C452" s="528"/>
      <c r="D452" s="530"/>
      <c r="E452" s="532"/>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526"/>
      <c r="B453" s="540"/>
      <c r="C453" s="528"/>
      <c r="D453" s="530"/>
      <c r="E453" s="532"/>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526"/>
      <c r="B454" s="540"/>
      <c r="C454" s="528"/>
      <c r="D454" s="530"/>
      <c r="E454" s="532"/>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526"/>
      <c r="B455" s="540"/>
      <c r="C455" s="528"/>
      <c r="D455" s="530"/>
      <c r="E455" s="532"/>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526"/>
      <c r="B456" s="540"/>
      <c r="C456" s="528"/>
      <c r="D456" s="530"/>
      <c r="E456" s="532"/>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526"/>
      <c r="B457" s="540"/>
      <c r="C457" s="528"/>
      <c r="D457" s="530"/>
      <c r="E457" s="532"/>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527"/>
      <c r="B458" s="541"/>
      <c r="C458" s="529"/>
      <c r="D458" s="531"/>
      <c r="E458" s="533"/>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538" t="s">
        <v>22</v>
      </c>
      <c r="B459" s="524" t="s">
        <v>18</v>
      </c>
      <c r="C459" s="524" t="s">
        <v>19</v>
      </c>
      <c r="D459" s="524" t="s">
        <v>203</v>
      </c>
      <c r="E459" s="524" t="s">
        <v>21</v>
      </c>
      <c r="F459" s="542" t="s">
        <v>23</v>
      </c>
      <c r="G459" s="504" t="s">
        <v>24</v>
      </c>
      <c r="H459" s="494" t="s">
        <v>25</v>
      </c>
      <c r="I459" s="496" t="s">
        <v>26</v>
      </c>
      <c r="J459" s="504" t="s">
        <v>24</v>
      </c>
      <c r="K459" s="494" t="s">
        <v>25</v>
      </c>
      <c r="L459" s="496" t="s">
        <v>26</v>
      </c>
      <c r="M459" s="504" t="s">
        <v>24</v>
      </c>
      <c r="N459" s="494" t="s">
        <v>25</v>
      </c>
      <c r="O459" s="496" t="s">
        <v>26</v>
      </c>
      <c r="P459" s="504" t="s">
        <v>24</v>
      </c>
      <c r="Q459" s="494" t="s">
        <v>25</v>
      </c>
      <c r="R459" s="496" t="s">
        <v>26</v>
      </c>
      <c r="S459" s="504" t="s">
        <v>24</v>
      </c>
      <c r="T459" s="494" t="s">
        <v>25</v>
      </c>
      <c r="U459" s="496" t="s">
        <v>26</v>
      </c>
      <c r="V459" s="504" t="s">
        <v>24</v>
      </c>
      <c r="W459" s="494" t="s">
        <v>25</v>
      </c>
      <c r="X459" s="534" t="s">
        <v>26</v>
      </c>
      <c r="Y459" s="504" t="s">
        <v>24</v>
      </c>
      <c r="Z459" s="494" t="s">
        <v>25</v>
      </c>
      <c r="AA459" s="496" t="s">
        <v>26</v>
      </c>
      <c r="AB459" s="504" t="s">
        <v>24</v>
      </c>
      <c r="AC459" s="494" t="s">
        <v>25</v>
      </c>
      <c r="AD459" s="496" t="s">
        <v>26</v>
      </c>
      <c r="AE459" s="504" t="s">
        <v>24</v>
      </c>
      <c r="AF459" s="494" t="s">
        <v>25</v>
      </c>
      <c r="AG459" s="496" t="s">
        <v>26</v>
      </c>
      <c r="AH459" s="504" t="s">
        <v>24</v>
      </c>
      <c r="AI459" s="494" t="s">
        <v>25</v>
      </c>
      <c r="AJ459" s="496" t="s">
        <v>26</v>
      </c>
      <c r="AK459" s="504" t="s">
        <v>24</v>
      </c>
      <c r="AL459" s="494" t="s">
        <v>25</v>
      </c>
      <c r="AM459" s="496" t="s">
        <v>26</v>
      </c>
      <c r="AN459" s="504" t="s">
        <v>24</v>
      </c>
      <c r="AO459" s="494" t="s">
        <v>25</v>
      </c>
      <c r="AP459" s="496" t="s">
        <v>26</v>
      </c>
      <c r="AQ459" s="504" t="s">
        <v>24</v>
      </c>
      <c r="AR459" s="494" t="s">
        <v>25</v>
      </c>
      <c r="AS459" s="496" t="s">
        <v>26</v>
      </c>
      <c r="AT459" s="536" t="s">
        <v>24</v>
      </c>
      <c r="AU459" s="544" t="s">
        <v>27</v>
      </c>
    </row>
    <row r="460" spans="1:47" ht="15" customHeight="1">
      <c r="A460" s="539"/>
      <c r="B460" s="525"/>
      <c r="C460" s="525"/>
      <c r="D460" s="525"/>
      <c r="E460" s="525"/>
      <c r="F460" s="543"/>
      <c r="G460" s="505"/>
      <c r="H460" s="495"/>
      <c r="I460" s="497"/>
      <c r="J460" s="505"/>
      <c r="K460" s="495"/>
      <c r="L460" s="497"/>
      <c r="M460" s="505"/>
      <c r="N460" s="495"/>
      <c r="O460" s="497"/>
      <c r="P460" s="505"/>
      <c r="Q460" s="495"/>
      <c r="R460" s="497"/>
      <c r="S460" s="505"/>
      <c r="T460" s="495"/>
      <c r="U460" s="497"/>
      <c r="V460" s="505"/>
      <c r="W460" s="495"/>
      <c r="X460" s="535"/>
      <c r="Y460" s="505"/>
      <c r="Z460" s="495"/>
      <c r="AA460" s="497"/>
      <c r="AB460" s="505"/>
      <c r="AC460" s="495"/>
      <c r="AD460" s="497"/>
      <c r="AE460" s="505"/>
      <c r="AF460" s="495"/>
      <c r="AG460" s="497"/>
      <c r="AH460" s="505"/>
      <c r="AI460" s="495"/>
      <c r="AJ460" s="497"/>
      <c r="AK460" s="505"/>
      <c r="AL460" s="495"/>
      <c r="AM460" s="497"/>
      <c r="AN460" s="505"/>
      <c r="AO460" s="495"/>
      <c r="AP460" s="497"/>
      <c r="AQ460" s="505"/>
      <c r="AR460" s="495"/>
      <c r="AS460" s="497"/>
      <c r="AT460" s="537"/>
      <c r="AU460" s="545"/>
    </row>
    <row r="461" spans="1:47" ht="15" customHeight="1">
      <c r="A461" s="526" t="s">
        <v>204</v>
      </c>
      <c r="B461" s="540" t="s">
        <v>379</v>
      </c>
      <c r="C461" s="528">
        <v>2269</v>
      </c>
      <c r="D461" s="556" t="s">
        <v>380</v>
      </c>
      <c r="E461" s="532" t="s">
        <v>381</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526"/>
      <c r="B462" s="540"/>
      <c r="C462" s="528"/>
      <c r="D462" s="556"/>
      <c r="E462" s="532"/>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526"/>
      <c r="B463" s="540"/>
      <c r="C463" s="528"/>
      <c r="D463" s="556"/>
      <c r="E463" s="532"/>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526"/>
      <c r="B464" s="540"/>
      <c r="C464" s="528"/>
      <c r="D464" s="556"/>
      <c r="E464" s="532"/>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526"/>
      <c r="B465" s="540"/>
      <c r="C465" s="528"/>
      <c r="D465" s="556"/>
      <c r="E465" s="532"/>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526"/>
      <c r="B466" s="540"/>
      <c r="C466" s="528"/>
      <c r="D466" s="556"/>
      <c r="E466" s="532"/>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526"/>
      <c r="B467" s="540"/>
      <c r="C467" s="528"/>
      <c r="D467" s="556"/>
      <c r="E467" s="532"/>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526"/>
      <c r="B468" s="540"/>
      <c r="C468" s="528"/>
      <c r="D468" s="556"/>
      <c r="E468" s="532"/>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527"/>
      <c r="B469" s="541"/>
      <c r="C469" s="529"/>
      <c r="D469" s="559"/>
      <c r="E469" s="533"/>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489" t="s">
        <v>22</v>
      </c>
      <c r="B470" s="491" t="s">
        <v>18</v>
      </c>
      <c r="C470" s="491" t="s">
        <v>19</v>
      </c>
      <c r="D470" s="491" t="s">
        <v>203</v>
      </c>
      <c r="E470" s="491" t="s">
        <v>21</v>
      </c>
      <c r="F470" s="550" t="s">
        <v>23</v>
      </c>
      <c r="G470" s="466" t="s">
        <v>24</v>
      </c>
      <c r="H470" s="468" t="s">
        <v>25</v>
      </c>
      <c r="I470" s="470" t="s">
        <v>26</v>
      </c>
      <c r="J470" s="466" t="s">
        <v>24</v>
      </c>
      <c r="K470" s="468" t="s">
        <v>25</v>
      </c>
      <c r="L470" s="470" t="s">
        <v>26</v>
      </c>
      <c r="M470" s="466" t="s">
        <v>24</v>
      </c>
      <c r="N470" s="468" t="s">
        <v>25</v>
      </c>
      <c r="O470" s="470" t="s">
        <v>26</v>
      </c>
      <c r="P470" s="466" t="s">
        <v>24</v>
      </c>
      <c r="Q470" s="468" t="s">
        <v>25</v>
      </c>
      <c r="R470" s="470" t="s">
        <v>26</v>
      </c>
      <c r="S470" s="466" t="s">
        <v>24</v>
      </c>
      <c r="T470" s="468" t="s">
        <v>25</v>
      </c>
      <c r="U470" s="470" t="s">
        <v>26</v>
      </c>
      <c r="V470" s="466" t="s">
        <v>24</v>
      </c>
      <c r="W470" s="468" t="s">
        <v>25</v>
      </c>
      <c r="X470" s="551" t="s">
        <v>26</v>
      </c>
      <c r="Y470" s="466" t="s">
        <v>24</v>
      </c>
      <c r="Z470" s="468" t="s">
        <v>25</v>
      </c>
      <c r="AA470" s="470" t="s">
        <v>26</v>
      </c>
      <c r="AB470" s="466" t="s">
        <v>24</v>
      </c>
      <c r="AC470" s="468" t="s">
        <v>25</v>
      </c>
      <c r="AD470" s="470" t="s">
        <v>26</v>
      </c>
      <c r="AE470" s="466" t="s">
        <v>24</v>
      </c>
      <c r="AF470" s="468" t="s">
        <v>25</v>
      </c>
      <c r="AG470" s="470" t="s">
        <v>26</v>
      </c>
      <c r="AH470" s="466" t="s">
        <v>24</v>
      </c>
      <c r="AI470" s="468" t="s">
        <v>25</v>
      </c>
      <c r="AJ470" s="470" t="s">
        <v>26</v>
      </c>
      <c r="AK470" s="466" t="s">
        <v>24</v>
      </c>
      <c r="AL470" s="468" t="s">
        <v>25</v>
      </c>
      <c r="AM470" s="470" t="s">
        <v>26</v>
      </c>
      <c r="AN470" s="466" t="s">
        <v>24</v>
      </c>
      <c r="AO470" s="468" t="s">
        <v>25</v>
      </c>
      <c r="AP470" s="470" t="s">
        <v>26</v>
      </c>
      <c r="AQ470" s="466" t="s">
        <v>24</v>
      </c>
      <c r="AR470" s="468" t="s">
        <v>25</v>
      </c>
      <c r="AS470" s="470" t="s">
        <v>26</v>
      </c>
      <c r="AT470" s="555" t="s">
        <v>24</v>
      </c>
      <c r="AU470" s="472" t="s">
        <v>27</v>
      </c>
    </row>
    <row r="471" spans="1:47" ht="15" customHeight="1">
      <c r="A471" s="539"/>
      <c r="B471" s="525"/>
      <c r="C471" s="525"/>
      <c r="D471" s="525"/>
      <c r="E471" s="525"/>
      <c r="F471" s="543"/>
      <c r="G471" s="505"/>
      <c r="H471" s="495"/>
      <c r="I471" s="497"/>
      <c r="J471" s="505"/>
      <c r="K471" s="495"/>
      <c r="L471" s="497"/>
      <c r="M471" s="505"/>
      <c r="N471" s="495"/>
      <c r="O471" s="497"/>
      <c r="P471" s="505"/>
      <c r="Q471" s="495"/>
      <c r="R471" s="497"/>
      <c r="S471" s="505"/>
      <c r="T471" s="495"/>
      <c r="U471" s="497"/>
      <c r="V471" s="505"/>
      <c r="W471" s="495"/>
      <c r="X471" s="535"/>
      <c r="Y471" s="505"/>
      <c r="Z471" s="495"/>
      <c r="AA471" s="497"/>
      <c r="AB471" s="505"/>
      <c r="AC471" s="495"/>
      <c r="AD471" s="497"/>
      <c r="AE471" s="505"/>
      <c r="AF471" s="495"/>
      <c r="AG471" s="497"/>
      <c r="AH471" s="505"/>
      <c r="AI471" s="495"/>
      <c r="AJ471" s="497"/>
      <c r="AK471" s="505"/>
      <c r="AL471" s="495"/>
      <c r="AM471" s="497"/>
      <c r="AN471" s="505"/>
      <c r="AO471" s="495"/>
      <c r="AP471" s="497"/>
      <c r="AQ471" s="505"/>
      <c r="AR471" s="495"/>
      <c r="AS471" s="497"/>
      <c r="AT471" s="537"/>
      <c r="AU471" s="545"/>
    </row>
    <row r="472" spans="1:47" ht="15" customHeight="1">
      <c r="A472" s="526" t="s">
        <v>204</v>
      </c>
      <c r="B472" s="540" t="s">
        <v>382</v>
      </c>
      <c r="C472" s="528">
        <v>2270</v>
      </c>
      <c r="D472" s="556" t="s">
        <v>383</v>
      </c>
      <c r="E472" s="532" t="s">
        <v>384</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526"/>
      <c r="B473" s="540"/>
      <c r="C473" s="528"/>
      <c r="D473" s="556"/>
      <c r="E473" s="532"/>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552">
        <f>SUM(G472:G480,J472:J480,M472:M480,P472:P480,S472:S480,AT472:AT480,V472:V480,Y472:Y480,AB472:AB480,AE472:AE480,AH472:AH480,AK472:AK480,AN472:AN480,AQ472:AQ480)</f>
        <v>4301000</v>
      </c>
    </row>
    <row r="474" spans="1:47" ht="14.45" customHeight="1">
      <c r="A474" s="526"/>
      <c r="B474" s="540"/>
      <c r="C474" s="528"/>
      <c r="D474" s="556"/>
      <c r="E474" s="532"/>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552"/>
    </row>
    <row r="475" spans="1:47" ht="14.45" customHeight="1">
      <c r="A475" s="526"/>
      <c r="B475" s="540"/>
      <c r="C475" s="528"/>
      <c r="D475" s="556"/>
      <c r="E475" s="532"/>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526"/>
      <c r="B476" s="540"/>
      <c r="C476" s="528"/>
      <c r="D476" s="556"/>
      <c r="E476" s="532"/>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c r="AU476" s="552">
        <f>SUM(H472:H480,K472:K480,N472:N480,Q472:Q480,T472:T480,W472:W480,Z472:Z480,AC472:AC480,AF472:AF480,AI472:AI480,AL472:AL480,AO472:AO480,AR472:AR480)</f>
        <v>4301000</v>
      </c>
    </row>
    <row r="477" spans="1:47" ht="14.45" customHeight="1">
      <c r="A477" s="526"/>
      <c r="B477" s="540"/>
      <c r="C477" s="528"/>
      <c r="D477" s="556"/>
      <c r="E477" s="532"/>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c r="AU477" s="552"/>
    </row>
    <row r="478" spans="1:47" ht="14.45" customHeight="1">
      <c r="A478" s="526"/>
      <c r="B478" s="540"/>
      <c r="C478" s="528"/>
      <c r="D478" s="556"/>
      <c r="E478" s="532"/>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526"/>
      <c r="B479" s="540"/>
      <c r="C479" s="528"/>
      <c r="D479" s="556"/>
      <c r="E479" s="532"/>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552">
        <f>SUM(I472:I480,L472:L480,O472:O480,R472:R480,U472:U480,X472:X480,AA472:AA480,AD472:AD480,AG472:AG480,AJ472:AJ480,AM472:AM480,AP472:AP480,AS472:AS480)</f>
        <v>0</v>
      </c>
    </row>
    <row r="480" spans="1:47" ht="14.45" customHeight="1">
      <c r="A480" s="526"/>
      <c r="B480" s="540"/>
      <c r="C480" s="528"/>
      <c r="D480" s="556"/>
      <c r="E480" s="532"/>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552"/>
    </row>
    <row r="481" spans="1:47" ht="15" customHeight="1">
      <c r="A481" s="538" t="s">
        <v>22</v>
      </c>
      <c r="B481" s="524" t="s">
        <v>18</v>
      </c>
      <c r="C481" s="524" t="s">
        <v>19</v>
      </c>
      <c r="D481" s="524" t="s">
        <v>203</v>
      </c>
      <c r="E481" s="524" t="s">
        <v>21</v>
      </c>
      <c r="F481" s="542" t="s">
        <v>23</v>
      </c>
      <c r="G481" s="504" t="s">
        <v>24</v>
      </c>
      <c r="H481" s="494" t="s">
        <v>25</v>
      </c>
      <c r="I481" s="496" t="s">
        <v>26</v>
      </c>
      <c r="J481" s="504" t="s">
        <v>24</v>
      </c>
      <c r="K481" s="494" t="s">
        <v>25</v>
      </c>
      <c r="L481" s="496" t="s">
        <v>26</v>
      </c>
      <c r="M481" s="504" t="s">
        <v>24</v>
      </c>
      <c r="N481" s="494" t="s">
        <v>25</v>
      </c>
      <c r="O481" s="496" t="s">
        <v>26</v>
      </c>
      <c r="P481" s="504" t="s">
        <v>24</v>
      </c>
      <c r="Q481" s="494" t="s">
        <v>25</v>
      </c>
      <c r="R481" s="496" t="s">
        <v>26</v>
      </c>
      <c r="S481" s="504" t="s">
        <v>24</v>
      </c>
      <c r="T481" s="494" t="s">
        <v>25</v>
      </c>
      <c r="U481" s="496" t="s">
        <v>26</v>
      </c>
      <c r="V481" s="504" t="s">
        <v>24</v>
      </c>
      <c r="W481" s="494" t="s">
        <v>25</v>
      </c>
      <c r="X481" s="534" t="s">
        <v>26</v>
      </c>
      <c r="Y481" s="504" t="s">
        <v>24</v>
      </c>
      <c r="Z481" s="494" t="s">
        <v>25</v>
      </c>
      <c r="AA481" s="496" t="s">
        <v>26</v>
      </c>
      <c r="AB481" s="504" t="s">
        <v>24</v>
      </c>
      <c r="AC481" s="494" t="s">
        <v>25</v>
      </c>
      <c r="AD481" s="496" t="s">
        <v>26</v>
      </c>
      <c r="AE481" s="504" t="s">
        <v>24</v>
      </c>
      <c r="AF481" s="494" t="s">
        <v>25</v>
      </c>
      <c r="AG481" s="496" t="s">
        <v>26</v>
      </c>
      <c r="AH481" s="504" t="s">
        <v>24</v>
      </c>
      <c r="AI481" s="494" t="s">
        <v>25</v>
      </c>
      <c r="AJ481" s="496" t="s">
        <v>26</v>
      </c>
      <c r="AK481" s="504" t="s">
        <v>24</v>
      </c>
      <c r="AL481" s="494" t="s">
        <v>25</v>
      </c>
      <c r="AM481" s="496" t="s">
        <v>26</v>
      </c>
      <c r="AN481" s="504" t="s">
        <v>24</v>
      </c>
      <c r="AO481" s="494" t="s">
        <v>25</v>
      </c>
      <c r="AP481" s="496" t="s">
        <v>26</v>
      </c>
      <c r="AQ481" s="504" t="s">
        <v>24</v>
      </c>
      <c r="AR481" s="494" t="s">
        <v>25</v>
      </c>
      <c r="AS481" s="496" t="s">
        <v>26</v>
      </c>
      <c r="AT481" s="536" t="s">
        <v>24</v>
      </c>
      <c r="AU481" s="544" t="s">
        <v>27</v>
      </c>
    </row>
    <row r="482" spans="1:47" ht="15" customHeight="1">
      <c r="A482" s="539"/>
      <c r="B482" s="525"/>
      <c r="C482" s="525"/>
      <c r="D482" s="525"/>
      <c r="E482" s="525"/>
      <c r="F482" s="543"/>
      <c r="G482" s="505"/>
      <c r="H482" s="495"/>
      <c r="I482" s="497"/>
      <c r="J482" s="505"/>
      <c r="K482" s="495"/>
      <c r="L482" s="497"/>
      <c r="M482" s="505"/>
      <c r="N482" s="495"/>
      <c r="O482" s="497"/>
      <c r="P482" s="505"/>
      <c r="Q482" s="495"/>
      <c r="R482" s="497"/>
      <c r="S482" s="505"/>
      <c r="T482" s="495"/>
      <c r="U482" s="497"/>
      <c r="V482" s="505"/>
      <c r="W482" s="495"/>
      <c r="X482" s="535"/>
      <c r="Y482" s="505"/>
      <c r="Z482" s="495"/>
      <c r="AA482" s="497"/>
      <c r="AB482" s="505"/>
      <c r="AC482" s="495"/>
      <c r="AD482" s="497"/>
      <c r="AE482" s="505"/>
      <c r="AF482" s="495"/>
      <c r="AG482" s="497"/>
      <c r="AH482" s="505"/>
      <c r="AI482" s="495"/>
      <c r="AJ482" s="497"/>
      <c r="AK482" s="505"/>
      <c r="AL482" s="495"/>
      <c r="AM482" s="497"/>
      <c r="AN482" s="505"/>
      <c r="AO482" s="495"/>
      <c r="AP482" s="497"/>
      <c r="AQ482" s="505"/>
      <c r="AR482" s="495"/>
      <c r="AS482" s="497"/>
      <c r="AT482" s="537"/>
      <c r="AU482" s="545"/>
    </row>
    <row r="483" spans="1:47" ht="15" customHeight="1">
      <c r="A483" s="526" t="s">
        <v>204</v>
      </c>
      <c r="B483" s="540" t="s">
        <v>385</v>
      </c>
      <c r="C483" s="528">
        <v>2271</v>
      </c>
      <c r="D483" s="556" t="s">
        <v>386</v>
      </c>
      <c r="E483" s="532" t="s">
        <v>387</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526"/>
      <c r="B484" s="540"/>
      <c r="C484" s="528"/>
      <c r="D484" s="556"/>
      <c r="E484" s="532"/>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526"/>
      <c r="B485" s="540"/>
      <c r="C485" s="528"/>
      <c r="D485" s="556"/>
      <c r="E485" s="532"/>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526"/>
      <c r="B486" s="540"/>
      <c r="C486" s="528"/>
      <c r="D486" s="556"/>
      <c r="E486" s="532"/>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526"/>
      <c r="B487" s="540"/>
      <c r="C487" s="528"/>
      <c r="D487" s="556"/>
      <c r="E487" s="532"/>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526"/>
      <c r="B488" s="540"/>
      <c r="C488" s="528"/>
      <c r="D488" s="556"/>
      <c r="E488" s="532"/>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388</v>
      </c>
      <c r="AU488" s="78">
        <f>SUM(I483:I491,L483:L491,O483:O491,R483:R491,U483:U491,X483:X491,AA483:AA491,AD483:AD491,AG483:AG491,AJ483:AJ491,AM483:AM491,AP483:AP491,AS483:AS491)</f>
        <v>61600</v>
      </c>
    </row>
    <row r="489" spans="1:47">
      <c r="A489" s="526"/>
      <c r="B489" s="540"/>
      <c r="C489" s="528"/>
      <c r="D489" s="556"/>
      <c r="E489" s="532"/>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526"/>
      <c r="B490" s="540"/>
      <c r="C490" s="528"/>
      <c r="D490" s="556"/>
      <c r="E490" s="532"/>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527"/>
      <c r="B491" s="541"/>
      <c r="C491" s="529"/>
      <c r="D491" s="559"/>
      <c r="E491" s="533"/>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489" t="s">
        <v>22</v>
      </c>
      <c r="B492" s="491" t="s">
        <v>18</v>
      </c>
      <c r="C492" s="491" t="s">
        <v>19</v>
      </c>
      <c r="D492" s="491" t="s">
        <v>203</v>
      </c>
      <c r="E492" s="491" t="s">
        <v>21</v>
      </c>
      <c r="F492" s="550" t="s">
        <v>23</v>
      </c>
      <c r="G492" s="466" t="s">
        <v>24</v>
      </c>
      <c r="H492" s="468" t="s">
        <v>25</v>
      </c>
      <c r="I492" s="470" t="s">
        <v>26</v>
      </c>
      <c r="J492" s="466" t="s">
        <v>24</v>
      </c>
      <c r="K492" s="468" t="s">
        <v>25</v>
      </c>
      <c r="L492" s="470" t="s">
        <v>26</v>
      </c>
      <c r="M492" s="466" t="s">
        <v>24</v>
      </c>
      <c r="N492" s="468" t="s">
        <v>25</v>
      </c>
      <c r="O492" s="470" t="s">
        <v>26</v>
      </c>
      <c r="P492" s="466" t="s">
        <v>24</v>
      </c>
      <c r="Q492" s="468" t="s">
        <v>25</v>
      </c>
      <c r="R492" s="470" t="s">
        <v>26</v>
      </c>
      <c r="S492" s="466" t="s">
        <v>24</v>
      </c>
      <c r="T492" s="468" t="s">
        <v>25</v>
      </c>
      <c r="U492" s="470" t="s">
        <v>26</v>
      </c>
      <c r="V492" s="466" t="s">
        <v>24</v>
      </c>
      <c r="W492" s="468" t="s">
        <v>25</v>
      </c>
      <c r="X492" s="551" t="s">
        <v>26</v>
      </c>
      <c r="Y492" s="466" t="s">
        <v>24</v>
      </c>
      <c r="Z492" s="468" t="s">
        <v>25</v>
      </c>
      <c r="AA492" s="470" t="s">
        <v>26</v>
      </c>
      <c r="AB492" s="466" t="s">
        <v>24</v>
      </c>
      <c r="AC492" s="468" t="s">
        <v>25</v>
      </c>
      <c r="AD492" s="470" t="s">
        <v>26</v>
      </c>
      <c r="AE492" s="466" t="s">
        <v>24</v>
      </c>
      <c r="AF492" s="468" t="s">
        <v>25</v>
      </c>
      <c r="AG492" s="470" t="s">
        <v>26</v>
      </c>
      <c r="AH492" s="466" t="s">
        <v>24</v>
      </c>
      <c r="AI492" s="468" t="s">
        <v>25</v>
      </c>
      <c r="AJ492" s="470" t="s">
        <v>26</v>
      </c>
      <c r="AK492" s="466" t="s">
        <v>24</v>
      </c>
      <c r="AL492" s="468" t="s">
        <v>25</v>
      </c>
      <c r="AM492" s="470" t="s">
        <v>26</v>
      </c>
      <c r="AN492" s="466" t="s">
        <v>24</v>
      </c>
      <c r="AO492" s="468" t="s">
        <v>25</v>
      </c>
      <c r="AP492" s="470" t="s">
        <v>26</v>
      </c>
      <c r="AQ492" s="466" t="s">
        <v>24</v>
      </c>
      <c r="AR492" s="468" t="s">
        <v>25</v>
      </c>
      <c r="AS492" s="470" t="s">
        <v>26</v>
      </c>
      <c r="AT492" s="555" t="s">
        <v>24</v>
      </c>
      <c r="AU492" s="472" t="s">
        <v>27</v>
      </c>
    </row>
    <row r="493" spans="1:47" ht="25.5" customHeight="1">
      <c r="A493" s="539"/>
      <c r="B493" s="525"/>
      <c r="C493" s="525"/>
      <c r="D493" s="525"/>
      <c r="E493" s="525"/>
      <c r="F493" s="543"/>
      <c r="G493" s="505"/>
      <c r="H493" s="495"/>
      <c r="I493" s="497"/>
      <c r="J493" s="505"/>
      <c r="K493" s="495"/>
      <c r="L493" s="497"/>
      <c r="M493" s="505"/>
      <c r="N493" s="495"/>
      <c r="O493" s="497"/>
      <c r="P493" s="505"/>
      <c r="Q493" s="495"/>
      <c r="R493" s="497"/>
      <c r="S493" s="505"/>
      <c r="T493" s="495"/>
      <c r="U493" s="497"/>
      <c r="V493" s="505"/>
      <c r="W493" s="495"/>
      <c r="X493" s="535"/>
      <c r="Y493" s="505"/>
      <c r="Z493" s="495"/>
      <c r="AA493" s="497"/>
      <c r="AB493" s="505"/>
      <c r="AC493" s="495"/>
      <c r="AD493" s="497"/>
      <c r="AE493" s="505"/>
      <c r="AF493" s="495"/>
      <c r="AG493" s="497"/>
      <c r="AH493" s="505"/>
      <c r="AI493" s="495"/>
      <c r="AJ493" s="497"/>
      <c r="AK493" s="505"/>
      <c r="AL493" s="495"/>
      <c r="AM493" s="497"/>
      <c r="AN493" s="505"/>
      <c r="AO493" s="495"/>
      <c r="AP493" s="497"/>
      <c r="AQ493" s="505"/>
      <c r="AR493" s="495"/>
      <c r="AS493" s="497"/>
      <c r="AT493" s="537"/>
      <c r="AU493" s="545"/>
    </row>
    <row r="494" spans="1:47" ht="14.45" customHeight="1">
      <c r="A494" s="526" t="s">
        <v>204</v>
      </c>
      <c r="B494" s="540" t="s">
        <v>389</v>
      </c>
      <c r="C494" s="528">
        <v>2622</v>
      </c>
      <c r="D494" s="530" t="s">
        <v>390</v>
      </c>
      <c r="E494" s="532" t="s">
        <v>391</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526"/>
      <c r="B495" s="540"/>
      <c r="C495" s="528"/>
      <c r="D495" s="530"/>
      <c r="E495" s="532"/>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526"/>
      <c r="B496" s="540"/>
      <c r="C496" s="528"/>
      <c r="D496" s="530"/>
      <c r="E496" s="532"/>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526"/>
      <c r="B497" s="540"/>
      <c r="C497" s="528"/>
      <c r="D497" s="530"/>
      <c r="E497" s="532"/>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526"/>
      <c r="B498" s="540"/>
      <c r="C498" s="528"/>
      <c r="D498" s="530"/>
      <c r="E498" s="532"/>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526"/>
      <c r="B499" s="540"/>
      <c r="C499" s="528"/>
      <c r="D499" s="530"/>
      <c r="E499" s="532"/>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526"/>
      <c r="B500" s="540"/>
      <c r="C500" s="528"/>
      <c r="D500" s="530"/>
      <c r="E500" s="532"/>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526"/>
      <c r="B501" s="540"/>
      <c r="C501" s="528"/>
      <c r="D501" s="530"/>
      <c r="E501" s="532"/>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527"/>
      <c r="B502" s="541"/>
      <c r="C502" s="529"/>
      <c r="D502" s="531"/>
      <c r="E502" s="533"/>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538" t="s">
        <v>22</v>
      </c>
      <c r="B503" s="524" t="s">
        <v>18</v>
      </c>
      <c r="C503" s="524" t="s">
        <v>19</v>
      </c>
      <c r="D503" s="524" t="s">
        <v>203</v>
      </c>
      <c r="E503" s="524" t="s">
        <v>21</v>
      </c>
      <c r="F503" s="542" t="s">
        <v>23</v>
      </c>
      <c r="G503" s="504" t="s">
        <v>24</v>
      </c>
      <c r="H503" s="494" t="s">
        <v>25</v>
      </c>
      <c r="I503" s="496" t="s">
        <v>26</v>
      </c>
      <c r="J503" s="504" t="s">
        <v>24</v>
      </c>
      <c r="K503" s="494" t="s">
        <v>25</v>
      </c>
      <c r="L503" s="496" t="s">
        <v>26</v>
      </c>
      <c r="M503" s="504" t="s">
        <v>24</v>
      </c>
      <c r="N503" s="494" t="s">
        <v>25</v>
      </c>
      <c r="O503" s="496" t="s">
        <v>26</v>
      </c>
      <c r="P503" s="504" t="s">
        <v>24</v>
      </c>
      <c r="Q503" s="494" t="s">
        <v>25</v>
      </c>
      <c r="R503" s="496" t="s">
        <v>26</v>
      </c>
      <c r="S503" s="504" t="s">
        <v>24</v>
      </c>
      <c r="T503" s="494" t="s">
        <v>25</v>
      </c>
      <c r="U503" s="496" t="s">
        <v>26</v>
      </c>
      <c r="V503" s="504" t="s">
        <v>24</v>
      </c>
      <c r="W503" s="494" t="s">
        <v>25</v>
      </c>
      <c r="X503" s="534" t="s">
        <v>26</v>
      </c>
      <c r="Y503" s="504" t="s">
        <v>24</v>
      </c>
      <c r="Z503" s="494" t="s">
        <v>25</v>
      </c>
      <c r="AA503" s="496" t="s">
        <v>26</v>
      </c>
      <c r="AB503" s="504" t="s">
        <v>24</v>
      </c>
      <c r="AC503" s="494" t="s">
        <v>25</v>
      </c>
      <c r="AD503" s="496" t="s">
        <v>26</v>
      </c>
      <c r="AE503" s="504" t="s">
        <v>24</v>
      </c>
      <c r="AF503" s="494" t="s">
        <v>25</v>
      </c>
      <c r="AG503" s="496" t="s">
        <v>26</v>
      </c>
      <c r="AH503" s="504" t="s">
        <v>24</v>
      </c>
      <c r="AI503" s="494" t="s">
        <v>25</v>
      </c>
      <c r="AJ503" s="496" t="s">
        <v>26</v>
      </c>
      <c r="AK503" s="504" t="s">
        <v>24</v>
      </c>
      <c r="AL503" s="494" t="s">
        <v>25</v>
      </c>
      <c r="AM503" s="496" t="s">
        <v>26</v>
      </c>
      <c r="AN503" s="504" t="s">
        <v>24</v>
      </c>
      <c r="AO503" s="494" t="s">
        <v>25</v>
      </c>
      <c r="AP503" s="496" t="s">
        <v>26</v>
      </c>
      <c r="AQ503" s="504" t="s">
        <v>24</v>
      </c>
      <c r="AR503" s="494" t="s">
        <v>25</v>
      </c>
      <c r="AS503" s="496" t="s">
        <v>26</v>
      </c>
      <c r="AT503" s="536" t="s">
        <v>24</v>
      </c>
      <c r="AU503" s="544" t="s">
        <v>27</v>
      </c>
    </row>
    <row r="504" spans="1:47" ht="15" customHeight="1">
      <c r="A504" s="539"/>
      <c r="B504" s="525"/>
      <c r="C504" s="525"/>
      <c r="D504" s="525"/>
      <c r="E504" s="525"/>
      <c r="F504" s="543"/>
      <c r="G504" s="505"/>
      <c r="H504" s="495"/>
      <c r="I504" s="497"/>
      <c r="J504" s="505"/>
      <c r="K504" s="495"/>
      <c r="L504" s="497"/>
      <c r="M504" s="505"/>
      <c r="N504" s="495"/>
      <c r="O504" s="497"/>
      <c r="P504" s="505"/>
      <c r="Q504" s="495"/>
      <c r="R504" s="497"/>
      <c r="S504" s="505"/>
      <c r="T504" s="495"/>
      <c r="U504" s="497"/>
      <c r="V504" s="505"/>
      <c r="W504" s="495"/>
      <c r="X504" s="535"/>
      <c r="Y504" s="505"/>
      <c r="Z504" s="495"/>
      <c r="AA504" s="497"/>
      <c r="AB504" s="505"/>
      <c r="AC504" s="495"/>
      <c r="AD504" s="497"/>
      <c r="AE504" s="505"/>
      <c r="AF504" s="495"/>
      <c r="AG504" s="497"/>
      <c r="AH504" s="505"/>
      <c r="AI504" s="495"/>
      <c r="AJ504" s="497"/>
      <c r="AK504" s="505"/>
      <c r="AL504" s="495"/>
      <c r="AM504" s="497"/>
      <c r="AN504" s="505"/>
      <c r="AO504" s="495"/>
      <c r="AP504" s="497"/>
      <c r="AQ504" s="505"/>
      <c r="AR504" s="495"/>
      <c r="AS504" s="497"/>
      <c r="AT504" s="537"/>
      <c r="AU504" s="545"/>
    </row>
    <row r="505" spans="1:47" ht="15" customHeight="1">
      <c r="A505" s="526" t="s">
        <v>204</v>
      </c>
      <c r="B505" s="540" t="s">
        <v>392</v>
      </c>
      <c r="C505" s="528">
        <v>2623</v>
      </c>
      <c r="D505" s="530" t="s">
        <v>390</v>
      </c>
      <c r="E505" s="532" t="s">
        <v>393</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526"/>
      <c r="B506" s="540"/>
      <c r="C506" s="528"/>
      <c r="D506" s="530"/>
      <c r="E506" s="532"/>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526"/>
      <c r="B507" s="540"/>
      <c r="C507" s="528"/>
      <c r="D507" s="530"/>
      <c r="E507" s="532"/>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526"/>
      <c r="B508" s="540"/>
      <c r="C508" s="528"/>
      <c r="D508" s="530"/>
      <c r="E508" s="532"/>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526"/>
      <c r="B509" s="540"/>
      <c r="C509" s="528"/>
      <c r="D509" s="530"/>
      <c r="E509" s="532"/>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526"/>
      <c r="B510" s="540"/>
      <c r="C510" s="528"/>
      <c r="D510" s="530"/>
      <c r="E510" s="532"/>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526"/>
      <c r="B511" s="540"/>
      <c r="C511" s="528"/>
      <c r="D511" s="530"/>
      <c r="E511" s="532"/>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526"/>
      <c r="B512" s="540"/>
      <c r="C512" s="528"/>
      <c r="D512" s="530"/>
      <c r="E512" s="532"/>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527"/>
      <c r="B513" s="541"/>
      <c r="C513" s="529"/>
      <c r="D513" s="531"/>
      <c r="E513" s="533"/>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538" t="s">
        <v>22</v>
      </c>
      <c r="B514" s="524" t="s">
        <v>18</v>
      </c>
      <c r="C514" s="524" t="s">
        <v>19</v>
      </c>
      <c r="D514" s="524" t="s">
        <v>203</v>
      </c>
      <c r="E514" s="524" t="s">
        <v>21</v>
      </c>
      <c r="F514" s="542" t="s">
        <v>23</v>
      </c>
      <c r="G514" s="504" t="s">
        <v>24</v>
      </c>
      <c r="H514" s="494" t="s">
        <v>25</v>
      </c>
      <c r="I514" s="496" t="s">
        <v>26</v>
      </c>
      <c r="J514" s="504" t="s">
        <v>24</v>
      </c>
      <c r="K514" s="494" t="s">
        <v>25</v>
      </c>
      <c r="L514" s="496" t="s">
        <v>26</v>
      </c>
      <c r="M514" s="504" t="s">
        <v>24</v>
      </c>
      <c r="N514" s="494" t="s">
        <v>25</v>
      </c>
      <c r="O514" s="496" t="s">
        <v>26</v>
      </c>
      <c r="P514" s="504" t="s">
        <v>24</v>
      </c>
      <c r="Q514" s="494" t="s">
        <v>25</v>
      </c>
      <c r="R514" s="496" t="s">
        <v>26</v>
      </c>
      <c r="S514" s="504" t="s">
        <v>24</v>
      </c>
      <c r="T514" s="494" t="s">
        <v>25</v>
      </c>
      <c r="U514" s="496" t="s">
        <v>26</v>
      </c>
      <c r="V514" s="504" t="s">
        <v>24</v>
      </c>
      <c r="W514" s="494" t="s">
        <v>25</v>
      </c>
      <c r="X514" s="534" t="s">
        <v>26</v>
      </c>
      <c r="Y514" s="504" t="s">
        <v>24</v>
      </c>
      <c r="Z514" s="494" t="s">
        <v>25</v>
      </c>
      <c r="AA514" s="496" t="s">
        <v>26</v>
      </c>
      <c r="AB514" s="504" t="s">
        <v>24</v>
      </c>
      <c r="AC514" s="494" t="s">
        <v>25</v>
      </c>
      <c r="AD514" s="496" t="s">
        <v>26</v>
      </c>
      <c r="AE514" s="504" t="s">
        <v>24</v>
      </c>
      <c r="AF514" s="494" t="s">
        <v>25</v>
      </c>
      <c r="AG514" s="496" t="s">
        <v>26</v>
      </c>
      <c r="AH514" s="504" t="s">
        <v>24</v>
      </c>
      <c r="AI514" s="494" t="s">
        <v>25</v>
      </c>
      <c r="AJ514" s="496" t="s">
        <v>26</v>
      </c>
      <c r="AK514" s="504" t="s">
        <v>24</v>
      </c>
      <c r="AL514" s="494" t="s">
        <v>25</v>
      </c>
      <c r="AM514" s="496" t="s">
        <v>26</v>
      </c>
      <c r="AN514" s="504" t="s">
        <v>24</v>
      </c>
      <c r="AO514" s="494" t="s">
        <v>25</v>
      </c>
      <c r="AP514" s="496" t="s">
        <v>26</v>
      </c>
      <c r="AQ514" s="504" t="s">
        <v>24</v>
      </c>
      <c r="AR514" s="494" t="s">
        <v>25</v>
      </c>
      <c r="AS514" s="496" t="s">
        <v>26</v>
      </c>
      <c r="AT514" s="536" t="s">
        <v>24</v>
      </c>
      <c r="AU514" s="544" t="s">
        <v>27</v>
      </c>
    </row>
    <row r="515" spans="1:47" ht="15" customHeight="1">
      <c r="A515" s="539"/>
      <c r="B515" s="525"/>
      <c r="C515" s="525"/>
      <c r="D515" s="525"/>
      <c r="E515" s="525"/>
      <c r="F515" s="543"/>
      <c r="G515" s="505"/>
      <c r="H515" s="495"/>
      <c r="I515" s="497"/>
      <c r="J515" s="505"/>
      <c r="K515" s="495"/>
      <c r="L515" s="497"/>
      <c r="M515" s="505"/>
      <c r="N515" s="495"/>
      <c r="O515" s="497"/>
      <c r="P515" s="505"/>
      <c r="Q515" s="495"/>
      <c r="R515" s="497"/>
      <c r="S515" s="505"/>
      <c r="T515" s="495"/>
      <c r="U515" s="497"/>
      <c r="V515" s="505"/>
      <c r="W515" s="495"/>
      <c r="X515" s="535"/>
      <c r="Y515" s="505"/>
      <c r="Z515" s="495"/>
      <c r="AA515" s="497"/>
      <c r="AB515" s="505"/>
      <c r="AC515" s="495"/>
      <c r="AD515" s="497"/>
      <c r="AE515" s="505"/>
      <c r="AF515" s="495"/>
      <c r="AG515" s="497"/>
      <c r="AH515" s="505"/>
      <c r="AI515" s="495"/>
      <c r="AJ515" s="497"/>
      <c r="AK515" s="505"/>
      <c r="AL515" s="495"/>
      <c r="AM515" s="497"/>
      <c r="AN515" s="505"/>
      <c r="AO515" s="495"/>
      <c r="AP515" s="497"/>
      <c r="AQ515" s="505"/>
      <c r="AR515" s="495"/>
      <c r="AS515" s="497"/>
      <c r="AT515" s="537"/>
      <c r="AU515" s="545"/>
    </row>
    <row r="516" spans="1:47" ht="15" customHeight="1">
      <c r="A516" s="526" t="s">
        <v>204</v>
      </c>
      <c r="B516" s="540" t="s">
        <v>394</v>
      </c>
      <c r="C516" s="528">
        <v>2624</v>
      </c>
      <c r="D516" s="530" t="s">
        <v>390</v>
      </c>
      <c r="E516" s="532" t="s">
        <v>395</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526"/>
      <c r="B517" s="540"/>
      <c r="C517" s="528"/>
      <c r="D517" s="530"/>
      <c r="E517" s="532"/>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526"/>
      <c r="B518" s="540"/>
      <c r="C518" s="528"/>
      <c r="D518" s="530"/>
      <c r="E518" s="532"/>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448">
        <v>111111</v>
      </c>
      <c r="AI518" s="449">
        <f t="shared" si="604"/>
        <v>111111</v>
      </c>
      <c r="AJ518" s="459"/>
      <c r="AK518" s="103"/>
      <c r="AL518" s="75">
        <f t="shared" si="605"/>
        <v>0</v>
      </c>
      <c r="AM518" s="104"/>
      <c r="AN518" s="103"/>
      <c r="AO518" s="75">
        <f t="shared" si="606"/>
        <v>0</v>
      </c>
      <c r="AP518" s="104"/>
      <c r="AQ518" s="103"/>
      <c r="AR518" s="75">
        <f t="shared" si="607"/>
        <v>0</v>
      </c>
      <c r="AS518" s="104"/>
      <c r="AT518" s="98"/>
      <c r="AU518" s="79" t="s">
        <v>35</v>
      </c>
    </row>
    <row r="519" spans="1:47">
      <c r="A519" s="526"/>
      <c r="B519" s="540"/>
      <c r="C519" s="528"/>
      <c r="D519" s="530"/>
      <c r="E519" s="532"/>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526"/>
      <c r="B520" s="540"/>
      <c r="C520" s="528"/>
      <c r="D520" s="530"/>
      <c r="E520" s="532"/>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526"/>
      <c r="B521" s="540"/>
      <c r="C521" s="528"/>
      <c r="D521" s="530"/>
      <c r="E521" s="532"/>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AH521-AJ521</f>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526"/>
      <c r="B522" s="540"/>
      <c r="C522" s="528"/>
      <c r="D522" s="530"/>
      <c r="E522" s="532"/>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AH522-AJ522</f>
        <v>0</v>
      </c>
      <c r="AJ522" s="104"/>
      <c r="AK522" s="103"/>
      <c r="AL522" s="75">
        <f t="shared" si="605"/>
        <v>0</v>
      </c>
      <c r="AM522" s="104"/>
      <c r="AN522" s="103"/>
      <c r="AO522" s="75">
        <f t="shared" si="606"/>
        <v>0</v>
      </c>
      <c r="AP522" s="104"/>
      <c r="AQ522" s="103"/>
      <c r="AR522" s="75">
        <f t="shared" si="607"/>
        <v>0</v>
      </c>
      <c r="AS522" s="104"/>
      <c r="AT522" s="98"/>
      <c r="AU522" s="79" t="s">
        <v>42</v>
      </c>
    </row>
    <row r="523" spans="1:47">
      <c r="A523" s="526"/>
      <c r="B523" s="540"/>
      <c r="C523" s="528"/>
      <c r="D523" s="530"/>
      <c r="E523" s="532"/>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527"/>
      <c r="B524" s="541"/>
      <c r="C524" s="529"/>
      <c r="D524" s="531"/>
      <c r="E524" s="533"/>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538" t="s">
        <v>22</v>
      </c>
      <c r="B525" s="524" t="s">
        <v>18</v>
      </c>
      <c r="C525" s="524" t="s">
        <v>19</v>
      </c>
      <c r="D525" s="524" t="s">
        <v>203</v>
      </c>
      <c r="E525" s="524" t="s">
        <v>21</v>
      </c>
      <c r="F525" s="542" t="s">
        <v>23</v>
      </c>
      <c r="G525" s="504" t="s">
        <v>24</v>
      </c>
      <c r="H525" s="494" t="s">
        <v>25</v>
      </c>
      <c r="I525" s="496" t="s">
        <v>26</v>
      </c>
      <c r="J525" s="504" t="s">
        <v>24</v>
      </c>
      <c r="K525" s="494" t="s">
        <v>25</v>
      </c>
      <c r="L525" s="496" t="s">
        <v>26</v>
      </c>
      <c r="M525" s="504" t="s">
        <v>24</v>
      </c>
      <c r="N525" s="494" t="s">
        <v>25</v>
      </c>
      <c r="O525" s="496" t="s">
        <v>26</v>
      </c>
      <c r="P525" s="504" t="s">
        <v>24</v>
      </c>
      <c r="Q525" s="494" t="s">
        <v>25</v>
      </c>
      <c r="R525" s="496" t="s">
        <v>26</v>
      </c>
      <c r="S525" s="504" t="s">
        <v>24</v>
      </c>
      <c r="T525" s="494" t="s">
        <v>25</v>
      </c>
      <c r="U525" s="496" t="s">
        <v>26</v>
      </c>
      <c r="V525" s="504" t="s">
        <v>24</v>
      </c>
      <c r="W525" s="494" t="s">
        <v>25</v>
      </c>
      <c r="X525" s="534" t="s">
        <v>26</v>
      </c>
      <c r="Y525" s="504" t="s">
        <v>24</v>
      </c>
      <c r="Z525" s="494" t="s">
        <v>25</v>
      </c>
      <c r="AA525" s="496" t="s">
        <v>26</v>
      </c>
      <c r="AB525" s="504" t="s">
        <v>24</v>
      </c>
      <c r="AC525" s="494" t="s">
        <v>25</v>
      </c>
      <c r="AD525" s="496" t="s">
        <v>26</v>
      </c>
      <c r="AE525" s="504" t="s">
        <v>24</v>
      </c>
      <c r="AF525" s="494" t="s">
        <v>25</v>
      </c>
      <c r="AG525" s="496" t="s">
        <v>26</v>
      </c>
      <c r="AH525" s="504" t="s">
        <v>24</v>
      </c>
      <c r="AI525" s="494" t="s">
        <v>25</v>
      </c>
      <c r="AJ525" s="496" t="s">
        <v>26</v>
      </c>
      <c r="AK525" s="504" t="s">
        <v>24</v>
      </c>
      <c r="AL525" s="494" t="s">
        <v>25</v>
      </c>
      <c r="AM525" s="496" t="s">
        <v>26</v>
      </c>
      <c r="AN525" s="504" t="s">
        <v>24</v>
      </c>
      <c r="AO525" s="494" t="s">
        <v>25</v>
      </c>
      <c r="AP525" s="496" t="s">
        <v>26</v>
      </c>
      <c r="AQ525" s="504" t="s">
        <v>24</v>
      </c>
      <c r="AR525" s="494" t="s">
        <v>25</v>
      </c>
      <c r="AS525" s="496" t="s">
        <v>26</v>
      </c>
      <c r="AT525" s="536" t="s">
        <v>24</v>
      </c>
      <c r="AU525" s="544" t="s">
        <v>27</v>
      </c>
    </row>
    <row r="526" spans="1:47" ht="15" customHeight="1">
      <c r="A526" s="539"/>
      <c r="B526" s="525"/>
      <c r="C526" s="525"/>
      <c r="D526" s="525"/>
      <c r="E526" s="525"/>
      <c r="F526" s="543"/>
      <c r="G526" s="505"/>
      <c r="H526" s="495"/>
      <c r="I526" s="497"/>
      <c r="J526" s="505"/>
      <c r="K526" s="495"/>
      <c r="L526" s="497"/>
      <c r="M526" s="505"/>
      <c r="N526" s="495"/>
      <c r="O526" s="497"/>
      <c r="P526" s="505"/>
      <c r="Q526" s="495"/>
      <c r="R526" s="497"/>
      <c r="S526" s="505"/>
      <c r="T526" s="495"/>
      <c r="U526" s="497"/>
      <c r="V526" s="505"/>
      <c r="W526" s="495"/>
      <c r="X526" s="535"/>
      <c r="Y526" s="505"/>
      <c r="Z526" s="495"/>
      <c r="AA526" s="497"/>
      <c r="AB526" s="505"/>
      <c r="AC526" s="495"/>
      <c r="AD526" s="497"/>
      <c r="AE526" s="505"/>
      <c r="AF526" s="495"/>
      <c r="AG526" s="497"/>
      <c r="AH526" s="505"/>
      <c r="AI526" s="495"/>
      <c r="AJ526" s="497"/>
      <c r="AK526" s="505"/>
      <c r="AL526" s="495"/>
      <c r="AM526" s="497"/>
      <c r="AN526" s="505"/>
      <c r="AO526" s="495"/>
      <c r="AP526" s="497"/>
      <c r="AQ526" s="505"/>
      <c r="AR526" s="495"/>
      <c r="AS526" s="497"/>
      <c r="AT526" s="537"/>
      <c r="AU526" s="545"/>
    </row>
    <row r="527" spans="1:47" ht="15" customHeight="1">
      <c r="A527" s="526" t="s">
        <v>204</v>
      </c>
      <c r="B527" s="540" t="s">
        <v>396</v>
      </c>
      <c r="C527" s="528">
        <v>2625</v>
      </c>
      <c r="D527" s="556" t="s">
        <v>397</v>
      </c>
      <c r="E527" s="532" t="s">
        <v>398</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526"/>
      <c r="B528" s="540"/>
      <c r="C528" s="528"/>
      <c r="D528" s="556"/>
      <c r="E528" s="532"/>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552">
        <f>SUM(G527:G535,J527:J535,M527:M535,P527:P535,S527:S535,AT527:AT535,V527:V535,Y527:Y535,AB527:AB535,AE527:AE535,AH527:AH535,AK527:AK535,AN527:AN535,AQ527:AQ535)</f>
        <v>8077218</v>
      </c>
    </row>
    <row r="529" spans="1:47" ht="14.45" customHeight="1">
      <c r="A529" s="526"/>
      <c r="B529" s="540"/>
      <c r="C529" s="528"/>
      <c r="D529" s="556"/>
      <c r="E529" s="532"/>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552"/>
    </row>
    <row r="530" spans="1:47" ht="14.45" customHeight="1">
      <c r="A530" s="526"/>
      <c r="B530" s="540"/>
      <c r="C530" s="528"/>
      <c r="D530" s="556"/>
      <c r="E530" s="532"/>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526"/>
      <c r="B531" s="540"/>
      <c r="C531" s="528"/>
      <c r="D531" s="556"/>
      <c r="E531" s="532"/>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68">
        <v>100000</v>
      </c>
      <c r="AL531" s="75">
        <f t="shared" si="618"/>
        <v>100000</v>
      </c>
      <c r="AM531" s="104"/>
      <c r="AN531" s="168"/>
      <c r="AO531" s="75">
        <f t="shared" si="619"/>
        <v>0</v>
      </c>
      <c r="AP531" s="104"/>
      <c r="AQ531" s="168"/>
      <c r="AR531" s="75">
        <f t="shared" si="620"/>
        <v>0</v>
      </c>
      <c r="AS531" s="104"/>
      <c r="AT531" s="98">
        <v>601818</v>
      </c>
      <c r="AU531" s="552">
        <f>SUM(H527:H535,K527:K535,N527:N535,Q527:Q535,T527:T535,W527:W535,Z527:Z535,AC527:AC535,AF527:AF535,AI527:AI535,AL527:AL535,AO527:AO535,AR527:AR535)</f>
        <v>2077000</v>
      </c>
    </row>
    <row r="532" spans="1:47" ht="14.45" customHeight="1">
      <c r="A532" s="526"/>
      <c r="B532" s="540"/>
      <c r="C532" s="528"/>
      <c r="D532" s="556"/>
      <c r="E532" s="532"/>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552"/>
    </row>
    <row r="533" spans="1:47" ht="14.45" customHeight="1">
      <c r="A533" s="526"/>
      <c r="B533" s="540"/>
      <c r="C533" s="528"/>
      <c r="D533" s="556"/>
      <c r="E533" s="532"/>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526"/>
      <c r="B534" s="540"/>
      <c r="C534" s="528"/>
      <c r="D534" s="556"/>
      <c r="E534" s="532"/>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552">
        <f>SUM(I527:I535,L527:L535,O527:O535,R527:R535,U527:U535,X527:X535,AA527:AA535,AD527:AD535,AG527:AG535,AJ527:AJ535,AM527:AM535,AP527:AP535,AS527:AS535)</f>
        <v>0</v>
      </c>
    </row>
    <row r="535" spans="1:47" ht="14.45" customHeight="1">
      <c r="A535" s="527"/>
      <c r="B535" s="541"/>
      <c r="C535" s="529"/>
      <c r="D535" s="559"/>
      <c r="E535" s="533"/>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568"/>
    </row>
    <row r="536" spans="1:47" ht="15" customHeight="1">
      <c r="A536" s="538" t="s">
        <v>22</v>
      </c>
      <c r="B536" s="524" t="s">
        <v>18</v>
      </c>
      <c r="C536" s="524" t="s">
        <v>19</v>
      </c>
      <c r="D536" s="524" t="s">
        <v>203</v>
      </c>
      <c r="E536" s="524" t="s">
        <v>21</v>
      </c>
      <c r="F536" s="542" t="s">
        <v>23</v>
      </c>
      <c r="G536" s="504" t="s">
        <v>24</v>
      </c>
      <c r="H536" s="494" t="s">
        <v>25</v>
      </c>
      <c r="I536" s="496" t="s">
        <v>26</v>
      </c>
      <c r="J536" s="504" t="s">
        <v>24</v>
      </c>
      <c r="K536" s="494" t="s">
        <v>25</v>
      </c>
      <c r="L536" s="496" t="s">
        <v>26</v>
      </c>
      <c r="M536" s="504" t="s">
        <v>24</v>
      </c>
      <c r="N536" s="494" t="s">
        <v>25</v>
      </c>
      <c r="O536" s="496" t="s">
        <v>26</v>
      </c>
      <c r="P536" s="504" t="s">
        <v>24</v>
      </c>
      <c r="Q536" s="494" t="s">
        <v>25</v>
      </c>
      <c r="R536" s="496" t="s">
        <v>26</v>
      </c>
      <c r="S536" s="504" t="s">
        <v>24</v>
      </c>
      <c r="T536" s="494" t="s">
        <v>25</v>
      </c>
      <c r="U536" s="496" t="s">
        <v>26</v>
      </c>
      <c r="V536" s="504" t="s">
        <v>24</v>
      </c>
      <c r="W536" s="494" t="s">
        <v>25</v>
      </c>
      <c r="X536" s="534" t="s">
        <v>26</v>
      </c>
      <c r="Y536" s="504" t="s">
        <v>24</v>
      </c>
      <c r="Z536" s="494" t="s">
        <v>25</v>
      </c>
      <c r="AA536" s="496" t="s">
        <v>26</v>
      </c>
      <c r="AB536" s="504" t="s">
        <v>24</v>
      </c>
      <c r="AC536" s="494" t="s">
        <v>25</v>
      </c>
      <c r="AD536" s="496" t="s">
        <v>26</v>
      </c>
      <c r="AE536" s="504" t="s">
        <v>24</v>
      </c>
      <c r="AF536" s="494" t="s">
        <v>25</v>
      </c>
      <c r="AG536" s="496" t="s">
        <v>26</v>
      </c>
      <c r="AH536" s="504" t="s">
        <v>24</v>
      </c>
      <c r="AI536" s="494" t="s">
        <v>25</v>
      </c>
      <c r="AJ536" s="496" t="s">
        <v>26</v>
      </c>
      <c r="AK536" s="504" t="s">
        <v>24</v>
      </c>
      <c r="AL536" s="494" t="s">
        <v>25</v>
      </c>
      <c r="AM536" s="496" t="s">
        <v>26</v>
      </c>
      <c r="AN536" s="504" t="s">
        <v>24</v>
      </c>
      <c r="AO536" s="494" t="s">
        <v>25</v>
      </c>
      <c r="AP536" s="496" t="s">
        <v>26</v>
      </c>
      <c r="AQ536" s="504" t="s">
        <v>24</v>
      </c>
      <c r="AR536" s="494" t="s">
        <v>25</v>
      </c>
      <c r="AS536" s="496" t="s">
        <v>26</v>
      </c>
      <c r="AT536" s="536" t="s">
        <v>24</v>
      </c>
      <c r="AU536" s="544" t="s">
        <v>27</v>
      </c>
    </row>
    <row r="537" spans="1:47" ht="15" customHeight="1">
      <c r="A537" s="539"/>
      <c r="B537" s="525"/>
      <c r="C537" s="525"/>
      <c r="D537" s="525"/>
      <c r="E537" s="525"/>
      <c r="F537" s="543"/>
      <c r="G537" s="505"/>
      <c r="H537" s="495"/>
      <c r="I537" s="497"/>
      <c r="J537" s="505"/>
      <c r="K537" s="495"/>
      <c r="L537" s="497"/>
      <c r="M537" s="505"/>
      <c r="N537" s="495"/>
      <c r="O537" s="497"/>
      <c r="P537" s="505"/>
      <c r="Q537" s="495"/>
      <c r="R537" s="497"/>
      <c r="S537" s="505"/>
      <c r="T537" s="495"/>
      <c r="U537" s="497"/>
      <c r="V537" s="505"/>
      <c r="W537" s="495"/>
      <c r="X537" s="535"/>
      <c r="Y537" s="505"/>
      <c r="Z537" s="495"/>
      <c r="AA537" s="497"/>
      <c r="AB537" s="505"/>
      <c r="AC537" s="495"/>
      <c r="AD537" s="497"/>
      <c r="AE537" s="505"/>
      <c r="AF537" s="495"/>
      <c r="AG537" s="497"/>
      <c r="AH537" s="505"/>
      <c r="AI537" s="495"/>
      <c r="AJ537" s="497"/>
      <c r="AK537" s="505"/>
      <c r="AL537" s="495"/>
      <c r="AM537" s="497"/>
      <c r="AN537" s="505"/>
      <c r="AO537" s="495"/>
      <c r="AP537" s="497"/>
      <c r="AQ537" s="505"/>
      <c r="AR537" s="495"/>
      <c r="AS537" s="497"/>
      <c r="AT537" s="537"/>
      <c r="AU537" s="545"/>
    </row>
    <row r="538" spans="1:47" ht="15" customHeight="1">
      <c r="A538" s="526" t="s">
        <v>204</v>
      </c>
      <c r="B538" s="540" t="s">
        <v>399</v>
      </c>
      <c r="C538" s="528">
        <v>2626</v>
      </c>
      <c r="D538" s="556" t="s">
        <v>397</v>
      </c>
      <c r="E538" s="532" t="s">
        <v>400</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526"/>
      <c r="B539" s="540"/>
      <c r="C539" s="528"/>
      <c r="D539" s="556"/>
      <c r="E539" s="532"/>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552">
        <f>SUM(G538:G546,J538:J546,M538:M546,P538:P546,S538:S546,AT538:AT546,V538:V546,Y538:Y546,AB538:AB546,AE538:AE546,AH538:AH546,AK538:AK546,AN538:AN546,AQ538:AQ546)</f>
        <v>2913273</v>
      </c>
    </row>
    <row r="540" spans="1:47" ht="14.45" customHeight="1">
      <c r="A540" s="526"/>
      <c r="B540" s="540"/>
      <c r="C540" s="528"/>
      <c r="D540" s="556"/>
      <c r="E540" s="532"/>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552"/>
    </row>
    <row r="541" spans="1:47" ht="14.45" customHeight="1">
      <c r="A541" s="526"/>
      <c r="B541" s="540"/>
      <c r="C541" s="528"/>
      <c r="D541" s="556"/>
      <c r="E541" s="532"/>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526"/>
      <c r="B542" s="540"/>
      <c r="C542" s="528"/>
      <c r="D542" s="556"/>
      <c r="E542" s="532"/>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552">
        <f>SUM(H538:H546,K538:K546,N538:N546,Q538:Q546,T538:T546,W538:W546,Z538:Z546,AC538:AC546,AF538:AF546,AI538:AI546,AL538:AL546,AO538:AO546,AR538:AR546)</f>
        <v>2146000</v>
      </c>
    </row>
    <row r="543" spans="1:47" ht="14.45" customHeight="1">
      <c r="A543" s="526"/>
      <c r="B543" s="540"/>
      <c r="C543" s="528"/>
      <c r="D543" s="556"/>
      <c r="E543" s="532"/>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552"/>
    </row>
    <row r="544" spans="1:47" ht="14.45" customHeight="1">
      <c r="A544" s="526"/>
      <c r="B544" s="540"/>
      <c r="C544" s="528"/>
      <c r="D544" s="556"/>
      <c r="E544" s="532"/>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526"/>
      <c r="B545" s="540"/>
      <c r="C545" s="528"/>
      <c r="D545" s="556"/>
      <c r="E545" s="532"/>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552">
        <f>SUM(I538:I546,L538:L546,O538:O546,R538:R546,U538:U546,X538:X546,AA538:AA546,AD538:AD546,AG538:AG546,AJ538:AJ546,AM538:AM546,AP538:AP546,AS538:AS546)</f>
        <v>0</v>
      </c>
    </row>
    <row r="546" spans="1:47" ht="14.45" customHeight="1">
      <c r="A546" s="527"/>
      <c r="B546" s="541"/>
      <c r="C546" s="529"/>
      <c r="D546" s="559"/>
      <c r="E546" s="533"/>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568"/>
    </row>
    <row r="547" spans="1:47" ht="15" customHeight="1">
      <c r="A547" s="538" t="s">
        <v>22</v>
      </c>
      <c r="B547" s="524" t="s">
        <v>18</v>
      </c>
      <c r="C547" s="524" t="s">
        <v>19</v>
      </c>
      <c r="D547" s="524" t="s">
        <v>203</v>
      </c>
      <c r="E547" s="524" t="s">
        <v>21</v>
      </c>
      <c r="F547" s="542" t="s">
        <v>23</v>
      </c>
      <c r="G547" s="504" t="s">
        <v>24</v>
      </c>
      <c r="H547" s="494" t="s">
        <v>25</v>
      </c>
      <c r="I547" s="496" t="s">
        <v>26</v>
      </c>
      <c r="J547" s="504" t="s">
        <v>24</v>
      </c>
      <c r="K547" s="494" t="s">
        <v>25</v>
      </c>
      <c r="L547" s="496" t="s">
        <v>26</v>
      </c>
      <c r="M547" s="504" t="s">
        <v>24</v>
      </c>
      <c r="N547" s="494" t="s">
        <v>25</v>
      </c>
      <c r="O547" s="496" t="s">
        <v>26</v>
      </c>
      <c r="P547" s="504" t="s">
        <v>24</v>
      </c>
      <c r="Q547" s="494" t="s">
        <v>25</v>
      </c>
      <c r="R547" s="496" t="s">
        <v>26</v>
      </c>
      <c r="S547" s="504" t="s">
        <v>24</v>
      </c>
      <c r="T547" s="494" t="s">
        <v>25</v>
      </c>
      <c r="U547" s="496" t="s">
        <v>26</v>
      </c>
      <c r="V547" s="504" t="s">
        <v>24</v>
      </c>
      <c r="W547" s="494" t="s">
        <v>25</v>
      </c>
      <c r="X547" s="534" t="s">
        <v>26</v>
      </c>
      <c r="Y547" s="504" t="s">
        <v>24</v>
      </c>
      <c r="Z547" s="494" t="s">
        <v>25</v>
      </c>
      <c r="AA547" s="496" t="s">
        <v>26</v>
      </c>
      <c r="AB547" s="504" t="s">
        <v>24</v>
      </c>
      <c r="AC547" s="494" t="s">
        <v>25</v>
      </c>
      <c r="AD547" s="496" t="s">
        <v>26</v>
      </c>
      <c r="AE547" s="504" t="s">
        <v>24</v>
      </c>
      <c r="AF547" s="494" t="s">
        <v>25</v>
      </c>
      <c r="AG547" s="496" t="s">
        <v>26</v>
      </c>
      <c r="AH547" s="504" t="s">
        <v>24</v>
      </c>
      <c r="AI547" s="494" t="s">
        <v>25</v>
      </c>
      <c r="AJ547" s="496" t="s">
        <v>26</v>
      </c>
      <c r="AK547" s="504" t="s">
        <v>24</v>
      </c>
      <c r="AL547" s="494" t="s">
        <v>25</v>
      </c>
      <c r="AM547" s="496" t="s">
        <v>26</v>
      </c>
      <c r="AN547" s="504" t="s">
        <v>24</v>
      </c>
      <c r="AO547" s="494" t="s">
        <v>25</v>
      </c>
      <c r="AP547" s="496" t="s">
        <v>26</v>
      </c>
      <c r="AQ547" s="504" t="s">
        <v>24</v>
      </c>
      <c r="AR547" s="494" t="s">
        <v>25</v>
      </c>
      <c r="AS547" s="496" t="s">
        <v>26</v>
      </c>
      <c r="AT547" s="536" t="s">
        <v>24</v>
      </c>
      <c r="AU547" s="544" t="s">
        <v>27</v>
      </c>
    </row>
    <row r="548" spans="1:47" ht="15" customHeight="1">
      <c r="A548" s="539"/>
      <c r="B548" s="525"/>
      <c r="C548" s="525"/>
      <c r="D548" s="525"/>
      <c r="E548" s="525"/>
      <c r="F548" s="543"/>
      <c r="G548" s="505"/>
      <c r="H548" s="495"/>
      <c r="I548" s="497"/>
      <c r="J548" s="505"/>
      <c r="K548" s="495"/>
      <c r="L548" s="497"/>
      <c r="M548" s="505"/>
      <c r="N548" s="495"/>
      <c r="O548" s="497"/>
      <c r="P548" s="505"/>
      <c r="Q548" s="495"/>
      <c r="R548" s="497"/>
      <c r="S548" s="505"/>
      <c r="T548" s="495"/>
      <c r="U548" s="497"/>
      <c r="V548" s="505"/>
      <c r="W548" s="495"/>
      <c r="X548" s="535"/>
      <c r="Y548" s="505"/>
      <c r="Z548" s="495"/>
      <c r="AA548" s="497"/>
      <c r="AB548" s="505"/>
      <c r="AC548" s="495"/>
      <c r="AD548" s="497"/>
      <c r="AE548" s="505"/>
      <c r="AF548" s="495"/>
      <c r="AG548" s="497"/>
      <c r="AH548" s="505"/>
      <c r="AI548" s="495"/>
      <c r="AJ548" s="497"/>
      <c r="AK548" s="505"/>
      <c r="AL548" s="495"/>
      <c r="AM548" s="497"/>
      <c r="AN548" s="505"/>
      <c r="AO548" s="495"/>
      <c r="AP548" s="497"/>
      <c r="AQ548" s="505"/>
      <c r="AR548" s="495"/>
      <c r="AS548" s="497"/>
      <c r="AT548" s="537"/>
      <c r="AU548" s="545"/>
    </row>
    <row r="549" spans="1:47" ht="15" customHeight="1">
      <c r="A549" s="526" t="s">
        <v>204</v>
      </c>
      <c r="B549" s="540" t="s">
        <v>401</v>
      </c>
      <c r="C549" s="528">
        <v>2627</v>
      </c>
      <c r="D549" s="556" t="s">
        <v>402</v>
      </c>
      <c r="E549" s="532" t="s">
        <v>403</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526"/>
      <c r="B550" s="540"/>
      <c r="C550" s="528"/>
      <c r="D550" s="556"/>
      <c r="E550" s="532"/>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6117235</v>
      </c>
    </row>
    <row r="551" spans="1:47">
      <c r="A551" s="526"/>
      <c r="B551" s="540"/>
      <c r="C551" s="528"/>
      <c r="D551" s="556"/>
      <c r="E551" s="532"/>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526"/>
      <c r="B552" s="540"/>
      <c r="C552" s="528"/>
      <c r="D552" s="556"/>
      <c r="E552" s="532"/>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53600</v>
      </c>
      <c r="AF552" s="169">
        <f t="shared" si="642"/>
        <v>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515200</v>
      </c>
    </row>
    <row r="553" spans="1:47">
      <c r="A553" s="526"/>
      <c r="B553" s="540"/>
      <c r="C553" s="528"/>
      <c r="D553" s="556"/>
      <c r="E553" s="532"/>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526"/>
      <c r="B554" s="540"/>
      <c r="C554" s="528"/>
      <c r="D554" s="556"/>
      <c r="E554" s="532"/>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526"/>
      <c r="B555" s="540"/>
      <c r="C555" s="528"/>
      <c r="D555" s="556"/>
      <c r="E555" s="532"/>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526"/>
      <c r="B556" s="540"/>
      <c r="C556" s="528"/>
      <c r="D556" s="556"/>
      <c r="E556" s="532"/>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9.5800635417799054E-2</v>
      </c>
    </row>
    <row r="557" spans="1:47">
      <c r="A557" s="527"/>
      <c r="B557" s="541"/>
      <c r="C557" s="529"/>
      <c r="D557" s="559"/>
      <c r="E557" s="533"/>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538" t="s">
        <v>22</v>
      </c>
      <c r="B558" s="524" t="s">
        <v>18</v>
      </c>
      <c r="C558" s="524" t="s">
        <v>19</v>
      </c>
      <c r="D558" s="524" t="s">
        <v>203</v>
      </c>
      <c r="E558" s="524" t="s">
        <v>21</v>
      </c>
      <c r="F558" s="542" t="s">
        <v>23</v>
      </c>
      <c r="G558" s="504" t="s">
        <v>24</v>
      </c>
      <c r="H558" s="494" t="s">
        <v>25</v>
      </c>
      <c r="I558" s="496" t="s">
        <v>26</v>
      </c>
      <c r="J558" s="504" t="s">
        <v>24</v>
      </c>
      <c r="K558" s="494" t="s">
        <v>25</v>
      </c>
      <c r="L558" s="496" t="s">
        <v>26</v>
      </c>
      <c r="M558" s="504" t="s">
        <v>24</v>
      </c>
      <c r="N558" s="494" t="s">
        <v>25</v>
      </c>
      <c r="O558" s="496" t="s">
        <v>26</v>
      </c>
      <c r="P558" s="504" t="s">
        <v>24</v>
      </c>
      <c r="Q558" s="494" t="s">
        <v>25</v>
      </c>
      <c r="R558" s="496" t="s">
        <v>26</v>
      </c>
      <c r="S558" s="504" t="s">
        <v>24</v>
      </c>
      <c r="T558" s="494" t="s">
        <v>25</v>
      </c>
      <c r="U558" s="496" t="s">
        <v>26</v>
      </c>
      <c r="V558" s="504" t="s">
        <v>24</v>
      </c>
      <c r="W558" s="494" t="s">
        <v>25</v>
      </c>
      <c r="X558" s="534" t="s">
        <v>26</v>
      </c>
      <c r="Y558" s="504" t="s">
        <v>24</v>
      </c>
      <c r="Z558" s="494" t="s">
        <v>25</v>
      </c>
      <c r="AA558" s="496" t="s">
        <v>26</v>
      </c>
      <c r="AB558" s="504" t="s">
        <v>24</v>
      </c>
      <c r="AC558" s="494" t="s">
        <v>25</v>
      </c>
      <c r="AD558" s="496" t="s">
        <v>26</v>
      </c>
      <c r="AE558" s="504" t="s">
        <v>24</v>
      </c>
      <c r="AF558" s="494" t="s">
        <v>25</v>
      </c>
      <c r="AG558" s="496" t="s">
        <v>26</v>
      </c>
      <c r="AH558" s="504" t="s">
        <v>24</v>
      </c>
      <c r="AI558" s="494" t="s">
        <v>25</v>
      </c>
      <c r="AJ558" s="496" t="s">
        <v>26</v>
      </c>
      <c r="AK558" s="504" t="s">
        <v>24</v>
      </c>
      <c r="AL558" s="494" t="s">
        <v>25</v>
      </c>
      <c r="AM558" s="496" t="s">
        <v>26</v>
      </c>
      <c r="AN558" s="504" t="s">
        <v>24</v>
      </c>
      <c r="AO558" s="494" t="s">
        <v>25</v>
      </c>
      <c r="AP558" s="496" t="s">
        <v>26</v>
      </c>
      <c r="AQ558" s="504" t="s">
        <v>24</v>
      </c>
      <c r="AR558" s="494" t="s">
        <v>25</v>
      </c>
      <c r="AS558" s="496" t="s">
        <v>26</v>
      </c>
      <c r="AT558" s="536" t="s">
        <v>24</v>
      </c>
      <c r="AU558" s="544" t="s">
        <v>27</v>
      </c>
    </row>
    <row r="559" spans="1:47" ht="15" customHeight="1">
      <c r="A559" s="539"/>
      <c r="B559" s="525"/>
      <c r="C559" s="525"/>
      <c r="D559" s="525"/>
      <c r="E559" s="525"/>
      <c r="F559" s="543"/>
      <c r="G559" s="505"/>
      <c r="H559" s="495"/>
      <c r="I559" s="497"/>
      <c r="J559" s="505"/>
      <c r="K559" s="495"/>
      <c r="L559" s="497"/>
      <c r="M559" s="505"/>
      <c r="N559" s="495"/>
      <c r="O559" s="497"/>
      <c r="P559" s="505"/>
      <c r="Q559" s="495"/>
      <c r="R559" s="497"/>
      <c r="S559" s="505"/>
      <c r="T559" s="495"/>
      <c r="U559" s="497"/>
      <c r="V559" s="505"/>
      <c r="W559" s="495"/>
      <c r="X559" s="535"/>
      <c r="Y559" s="505"/>
      <c r="Z559" s="495"/>
      <c r="AA559" s="497"/>
      <c r="AB559" s="505"/>
      <c r="AC559" s="495"/>
      <c r="AD559" s="497"/>
      <c r="AE559" s="505"/>
      <c r="AF559" s="495"/>
      <c r="AG559" s="497"/>
      <c r="AH559" s="505"/>
      <c r="AI559" s="495"/>
      <c r="AJ559" s="497"/>
      <c r="AK559" s="505"/>
      <c r="AL559" s="495"/>
      <c r="AM559" s="497"/>
      <c r="AN559" s="505"/>
      <c r="AO559" s="495"/>
      <c r="AP559" s="497"/>
      <c r="AQ559" s="505"/>
      <c r="AR559" s="495"/>
      <c r="AS559" s="497"/>
      <c r="AT559" s="537"/>
      <c r="AU559" s="545"/>
    </row>
    <row r="560" spans="1:47" ht="15" customHeight="1">
      <c r="A560" s="526" t="s">
        <v>204</v>
      </c>
      <c r="B560" s="540" t="s">
        <v>404</v>
      </c>
      <c r="C560" s="528">
        <v>2628</v>
      </c>
      <c r="D560" s="556" t="s">
        <v>405</v>
      </c>
      <c r="E560" s="532" t="s">
        <v>406</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526"/>
      <c r="B561" s="540"/>
      <c r="C561" s="528"/>
      <c r="D561" s="556"/>
      <c r="E561" s="532"/>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4747395</v>
      </c>
    </row>
    <row r="562" spans="1:47">
      <c r="A562" s="526"/>
      <c r="B562" s="540"/>
      <c r="C562" s="528"/>
      <c r="D562" s="556"/>
      <c r="E562" s="532"/>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526"/>
      <c r="B563" s="540"/>
      <c r="C563" s="528"/>
      <c r="D563" s="556"/>
      <c r="E563" s="532"/>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111200</v>
      </c>
      <c r="AF563" s="169">
        <f t="shared" si="655"/>
        <v>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145200</v>
      </c>
    </row>
    <row r="564" spans="1:47">
      <c r="A564" s="526"/>
      <c r="B564" s="540"/>
      <c r="C564" s="528"/>
      <c r="D564" s="556"/>
      <c r="E564" s="532"/>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526"/>
      <c r="B565" s="540"/>
      <c r="C565" s="528"/>
      <c r="D565" s="556"/>
      <c r="E565" s="532"/>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526"/>
      <c r="B566" s="540"/>
      <c r="C566" s="528"/>
      <c r="D566" s="556"/>
      <c r="E566" s="532"/>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526"/>
      <c r="B567" s="540"/>
      <c r="C567" s="528"/>
      <c r="D567" s="556"/>
      <c r="E567" s="532"/>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0.11109145120639846</v>
      </c>
    </row>
    <row r="568" spans="1:47">
      <c r="A568" s="527"/>
      <c r="B568" s="541"/>
      <c r="C568" s="529"/>
      <c r="D568" s="559"/>
      <c r="E568" s="533"/>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538" t="s">
        <v>22</v>
      </c>
      <c r="B569" s="524" t="s">
        <v>18</v>
      </c>
      <c r="C569" s="524" t="s">
        <v>19</v>
      </c>
      <c r="D569" s="524" t="s">
        <v>203</v>
      </c>
      <c r="E569" s="524" t="s">
        <v>21</v>
      </c>
      <c r="F569" s="542" t="s">
        <v>23</v>
      </c>
      <c r="G569" s="504" t="s">
        <v>24</v>
      </c>
      <c r="H569" s="494" t="s">
        <v>25</v>
      </c>
      <c r="I569" s="496" t="s">
        <v>26</v>
      </c>
      <c r="J569" s="504" t="s">
        <v>24</v>
      </c>
      <c r="K569" s="494" t="s">
        <v>25</v>
      </c>
      <c r="L569" s="496" t="s">
        <v>26</v>
      </c>
      <c r="M569" s="504" t="s">
        <v>24</v>
      </c>
      <c r="N569" s="494" t="s">
        <v>25</v>
      </c>
      <c r="O569" s="496" t="s">
        <v>26</v>
      </c>
      <c r="P569" s="504" t="s">
        <v>24</v>
      </c>
      <c r="Q569" s="494" t="s">
        <v>25</v>
      </c>
      <c r="R569" s="496" t="s">
        <v>26</v>
      </c>
      <c r="S569" s="504" t="s">
        <v>24</v>
      </c>
      <c r="T569" s="494" t="s">
        <v>25</v>
      </c>
      <c r="U569" s="496" t="s">
        <v>26</v>
      </c>
      <c r="V569" s="504" t="s">
        <v>24</v>
      </c>
      <c r="W569" s="494" t="s">
        <v>25</v>
      </c>
      <c r="X569" s="534" t="s">
        <v>26</v>
      </c>
      <c r="Y569" s="504" t="s">
        <v>24</v>
      </c>
      <c r="Z569" s="494" t="s">
        <v>25</v>
      </c>
      <c r="AA569" s="496" t="s">
        <v>26</v>
      </c>
      <c r="AB569" s="504" t="s">
        <v>24</v>
      </c>
      <c r="AC569" s="494" t="s">
        <v>25</v>
      </c>
      <c r="AD569" s="496" t="s">
        <v>26</v>
      </c>
      <c r="AE569" s="504" t="s">
        <v>24</v>
      </c>
      <c r="AF569" s="494" t="s">
        <v>25</v>
      </c>
      <c r="AG569" s="496" t="s">
        <v>26</v>
      </c>
      <c r="AH569" s="504" t="s">
        <v>24</v>
      </c>
      <c r="AI569" s="494" t="s">
        <v>25</v>
      </c>
      <c r="AJ569" s="496" t="s">
        <v>26</v>
      </c>
      <c r="AK569" s="504" t="s">
        <v>24</v>
      </c>
      <c r="AL569" s="494" t="s">
        <v>25</v>
      </c>
      <c r="AM569" s="496" t="s">
        <v>26</v>
      </c>
      <c r="AN569" s="504" t="s">
        <v>24</v>
      </c>
      <c r="AO569" s="494" t="s">
        <v>25</v>
      </c>
      <c r="AP569" s="496" t="s">
        <v>26</v>
      </c>
      <c r="AQ569" s="504" t="s">
        <v>24</v>
      </c>
      <c r="AR569" s="494" t="s">
        <v>25</v>
      </c>
      <c r="AS569" s="496" t="s">
        <v>26</v>
      </c>
      <c r="AT569" s="536" t="s">
        <v>24</v>
      </c>
      <c r="AU569" s="544" t="s">
        <v>27</v>
      </c>
    </row>
    <row r="570" spans="1:47" ht="15" customHeight="1">
      <c r="A570" s="539"/>
      <c r="B570" s="525"/>
      <c r="C570" s="525"/>
      <c r="D570" s="525"/>
      <c r="E570" s="525"/>
      <c r="F570" s="543"/>
      <c r="G570" s="505"/>
      <c r="H570" s="495"/>
      <c r="I570" s="497"/>
      <c r="J570" s="505"/>
      <c r="K570" s="495"/>
      <c r="L570" s="497"/>
      <c r="M570" s="505"/>
      <c r="N570" s="495"/>
      <c r="O570" s="497"/>
      <c r="P570" s="505"/>
      <c r="Q570" s="495"/>
      <c r="R570" s="497"/>
      <c r="S570" s="505"/>
      <c r="T570" s="495"/>
      <c r="U570" s="497"/>
      <c r="V570" s="505"/>
      <c r="W570" s="495"/>
      <c r="X570" s="535"/>
      <c r="Y570" s="505"/>
      <c r="Z570" s="495"/>
      <c r="AA570" s="497"/>
      <c r="AB570" s="505"/>
      <c r="AC570" s="495"/>
      <c r="AD570" s="497"/>
      <c r="AE570" s="505"/>
      <c r="AF570" s="495"/>
      <c r="AG570" s="497"/>
      <c r="AH570" s="505"/>
      <c r="AI570" s="495"/>
      <c r="AJ570" s="497"/>
      <c r="AK570" s="505"/>
      <c r="AL570" s="495"/>
      <c r="AM570" s="497"/>
      <c r="AN570" s="505"/>
      <c r="AO570" s="495"/>
      <c r="AP570" s="497"/>
      <c r="AQ570" s="505"/>
      <c r="AR570" s="495"/>
      <c r="AS570" s="497"/>
      <c r="AT570" s="537"/>
      <c r="AU570" s="545"/>
    </row>
    <row r="571" spans="1:47" ht="15" customHeight="1">
      <c r="A571" s="526" t="s">
        <v>204</v>
      </c>
      <c r="B571" s="540" t="s">
        <v>407</v>
      </c>
      <c r="C571" s="528">
        <v>2629</v>
      </c>
      <c r="D571" s="556" t="s">
        <v>397</v>
      </c>
      <c r="E571" s="532" t="s">
        <v>408</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526"/>
      <c r="B572" s="540"/>
      <c r="C572" s="528"/>
      <c r="D572" s="556"/>
      <c r="E572" s="532"/>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526"/>
      <c r="B573" s="540"/>
      <c r="C573" s="528"/>
      <c r="D573" s="556"/>
      <c r="E573" s="532"/>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526"/>
      <c r="B574" s="540"/>
      <c r="C574" s="528"/>
      <c r="D574" s="556"/>
      <c r="E574" s="532"/>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526"/>
      <c r="B575" s="540"/>
      <c r="C575" s="528"/>
      <c r="D575" s="556"/>
      <c r="E575" s="532"/>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526"/>
      <c r="B576" s="540"/>
      <c r="C576" s="528"/>
      <c r="D576" s="556"/>
      <c r="E576" s="532"/>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526"/>
      <c r="B577" s="540"/>
      <c r="C577" s="528"/>
      <c r="D577" s="556"/>
      <c r="E577" s="532"/>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526"/>
      <c r="B578" s="540"/>
      <c r="C578" s="528"/>
      <c r="D578" s="556"/>
      <c r="E578" s="532"/>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527"/>
      <c r="B579" s="541"/>
      <c r="C579" s="529"/>
      <c r="D579" s="559"/>
      <c r="E579" s="533"/>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538" t="s">
        <v>22</v>
      </c>
      <c r="B580" s="524" t="s">
        <v>18</v>
      </c>
      <c r="C580" s="524" t="s">
        <v>19</v>
      </c>
      <c r="D580" s="524" t="s">
        <v>203</v>
      </c>
      <c r="E580" s="524" t="s">
        <v>21</v>
      </c>
      <c r="F580" s="542" t="s">
        <v>23</v>
      </c>
      <c r="G580" s="504" t="s">
        <v>24</v>
      </c>
      <c r="H580" s="494" t="s">
        <v>25</v>
      </c>
      <c r="I580" s="496" t="s">
        <v>26</v>
      </c>
      <c r="J580" s="504" t="s">
        <v>24</v>
      </c>
      <c r="K580" s="494" t="s">
        <v>25</v>
      </c>
      <c r="L580" s="496" t="s">
        <v>26</v>
      </c>
      <c r="M580" s="504" t="s">
        <v>24</v>
      </c>
      <c r="N580" s="494" t="s">
        <v>25</v>
      </c>
      <c r="O580" s="496" t="s">
        <v>26</v>
      </c>
      <c r="P580" s="504" t="s">
        <v>24</v>
      </c>
      <c r="Q580" s="494" t="s">
        <v>25</v>
      </c>
      <c r="R580" s="496" t="s">
        <v>26</v>
      </c>
      <c r="S580" s="504" t="s">
        <v>24</v>
      </c>
      <c r="T580" s="494" t="s">
        <v>25</v>
      </c>
      <c r="U580" s="496" t="s">
        <v>26</v>
      </c>
      <c r="V580" s="504" t="s">
        <v>24</v>
      </c>
      <c r="W580" s="494" t="s">
        <v>25</v>
      </c>
      <c r="X580" s="534" t="s">
        <v>26</v>
      </c>
      <c r="Y580" s="504" t="s">
        <v>24</v>
      </c>
      <c r="Z580" s="494" t="s">
        <v>25</v>
      </c>
      <c r="AA580" s="496" t="s">
        <v>26</v>
      </c>
      <c r="AB580" s="504" t="s">
        <v>24</v>
      </c>
      <c r="AC580" s="494" t="s">
        <v>25</v>
      </c>
      <c r="AD580" s="496" t="s">
        <v>26</v>
      </c>
      <c r="AE580" s="504" t="s">
        <v>24</v>
      </c>
      <c r="AF580" s="494" t="s">
        <v>25</v>
      </c>
      <c r="AG580" s="496" t="s">
        <v>26</v>
      </c>
      <c r="AH580" s="504" t="s">
        <v>24</v>
      </c>
      <c r="AI580" s="494" t="s">
        <v>25</v>
      </c>
      <c r="AJ580" s="496" t="s">
        <v>26</v>
      </c>
      <c r="AK580" s="504" t="s">
        <v>24</v>
      </c>
      <c r="AL580" s="494" t="s">
        <v>25</v>
      </c>
      <c r="AM580" s="496" t="s">
        <v>26</v>
      </c>
      <c r="AN580" s="504" t="s">
        <v>24</v>
      </c>
      <c r="AO580" s="494" t="s">
        <v>25</v>
      </c>
      <c r="AP580" s="496" t="s">
        <v>26</v>
      </c>
      <c r="AQ580" s="504" t="s">
        <v>24</v>
      </c>
      <c r="AR580" s="494" t="s">
        <v>25</v>
      </c>
      <c r="AS580" s="496" t="s">
        <v>26</v>
      </c>
      <c r="AT580" s="536" t="s">
        <v>24</v>
      </c>
      <c r="AU580" s="544" t="s">
        <v>27</v>
      </c>
    </row>
    <row r="581" spans="1:47" ht="15" customHeight="1">
      <c r="A581" s="539"/>
      <c r="B581" s="525"/>
      <c r="C581" s="525"/>
      <c r="D581" s="525"/>
      <c r="E581" s="525"/>
      <c r="F581" s="543"/>
      <c r="G581" s="505"/>
      <c r="H581" s="495"/>
      <c r="I581" s="497"/>
      <c r="J581" s="505"/>
      <c r="K581" s="495"/>
      <c r="L581" s="497"/>
      <c r="M581" s="505"/>
      <c r="N581" s="495"/>
      <c r="O581" s="497"/>
      <c r="P581" s="505"/>
      <c r="Q581" s="495"/>
      <c r="R581" s="497"/>
      <c r="S581" s="505"/>
      <c r="T581" s="495"/>
      <c r="U581" s="497"/>
      <c r="V581" s="505"/>
      <c r="W581" s="495"/>
      <c r="X581" s="535"/>
      <c r="Y581" s="505"/>
      <c r="Z581" s="495"/>
      <c r="AA581" s="497"/>
      <c r="AB581" s="505"/>
      <c r="AC581" s="495"/>
      <c r="AD581" s="497"/>
      <c r="AE581" s="505"/>
      <c r="AF581" s="495"/>
      <c r="AG581" s="497"/>
      <c r="AH581" s="505"/>
      <c r="AI581" s="495"/>
      <c r="AJ581" s="497"/>
      <c r="AK581" s="505"/>
      <c r="AL581" s="495"/>
      <c r="AM581" s="497"/>
      <c r="AN581" s="505"/>
      <c r="AO581" s="495"/>
      <c r="AP581" s="497"/>
      <c r="AQ581" s="505"/>
      <c r="AR581" s="495"/>
      <c r="AS581" s="497"/>
      <c r="AT581" s="537"/>
      <c r="AU581" s="545"/>
    </row>
    <row r="582" spans="1:47" ht="15" customHeight="1">
      <c r="A582" s="526" t="s">
        <v>204</v>
      </c>
      <c r="B582" s="540" t="s">
        <v>409</v>
      </c>
      <c r="C582" s="528">
        <v>2630</v>
      </c>
      <c r="D582" s="556" t="s">
        <v>397</v>
      </c>
      <c r="E582" s="532" t="s">
        <v>410</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526"/>
      <c r="B583" s="540"/>
      <c r="C583" s="528"/>
      <c r="D583" s="556"/>
      <c r="E583" s="532"/>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526"/>
      <c r="B584" s="540"/>
      <c r="C584" s="528"/>
      <c r="D584" s="556"/>
      <c r="E584" s="532"/>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526"/>
      <c r="B585" s="540"/>
      <c r="C585" s="528"/>
      <c r="D585" s="556"/>
      <c r="E585" s="532"/>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526"/>
      <c r="B586" s="540"/>
      <c r="C586" s="528"/>
      <c r="D586" s="556"/>
      <c r="E586" s="532"/>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526"/>
      <c r="B587" s="540"/>
      <c r="C587" s="528"/>
      <c r="D587" s="556"/>
      <c r="E587" s="532"/>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526"/>
      <c r="B588" s="540"/>
      <c r="C588" s="528"/>
      <c r="D588" s="556"/>
      <c r="E588" s="532"/>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526"/>
      <c r="B589" s="540"/>
      <c r="C589" s="528"/>
      <c r="D589" s="556"/>
      <c r="E589" s="532"/>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527"/>
      <c r="B590" s="541"/>
      <c r="C590" s="529"/>
      <c r="D590" s="559"/>
      <c r="E590" s="533"/>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489" t="s">
        <v>22</v>
      </c>
      <c r="B591" s="491" t="s">
        <v>18</v>
      </c>
      <c r="C591" s="491" t="s">
        <v>19</v>
      </c>
      <c r="D591" s="491" t="s">
        <v>203</v>
      </c>
      <c r="E591" s="491" t="s">
        <v>21</v>
      </c>
      <c r="F591" s="550" t="s">
        <v>23</v>
      </c>
      <c r="G591" s="466" t="s">
        <v>24</v>
      </c>
      <c r="H591" s="468" t="s">
        <v>25</v>
      </c>
      <c r="I591" s="470" t="s">
        <v>26</v>
      </c>
      <c r="J591" s="466" t="s">
        <v>24</v>
      </c>
      <c r="K591" s="468" t="s">
        <v>25</v>
      </c>
      <c r="L591" s="470" t="s">
        <v>26</v>
      </c>
      <c r="M591" s="466" t="s">
        <v>24</v>
      </c>
      <c r="N591" s="468" t="s">
        <v>25</v>
      </c>
      <c r="O591" s="470" t="s">
        <v>26</v>
      </c>
      <c r="P591" s="466" t="s">
        <v>24</v>
      </c>
      <c r="Q591" s="468" t="s">
        <v>25</v>
      </c>
      <c r="R591" s="470" t="s">
        <v>26</v>
      </c>
      <c r="S591" s="466" t="s">
        <v>24</v>
      </c>
      <c r="T591" s="468" t="s">
        <v>25</v>
      </c>
      <c r="U591" s="470" t="s">
        <v>26</v>
      </c>
      <c r="V591" s="466" t="s">
        <v>24</v>
      </c>
      <c r="W591" s="468" t="s">
        <v>25</v>
      </c>
      <c r="X591" s="551" t="s">
        <v>26</v>
      </c>
      <c r="Y591" s="466" t="s">
        <v>24</v>
      </c>
      <c r="Z591" s="468" t="s">
        <v>25</v>
      </c>
      <c r="AA591" s="470" t="s">
        <v>26</v>
      </c>
      <c r="AB591" s="466" t="s">
        <v>24</v>
      </c>
      <c r="AC591" s="468" t="s">
        <v>25</v>
      </c>
      <c r="AD591" s="470" t="s">
        <v>26</v>
      </c>
      <c r="AE591" s="466" t="s">
        <v>24</v>
      </c>
      <c r="AF591" s="468" t="s">
        <v>25</v>
      </c>
      <c r="AG591" s="470" t="s">
        <v>26</v>
      </c>
      <c r="AH591" s="466" t="s">
        <v>24</v>
      </c>
      <c r="AI591" s="468" t="s">
        <v>25</v>
      </c>
      <c r="AJ591" s="470" t="s">
        <v>26</v>
      </c>
      <c r="AK591" s="466" t="s">
        <v>24</v>
      </c>
      <c r="AL591" s="468" t="s">
        <v>25</v>
      </c>
      <c r="AM591" s="470" t="s">
        <v>26</v>
      </c>
      <c r="AN591" s="466" t="s">
        <v>24</v>
      </c>
      <c r="AO591" s="468" t="s">
        <v>25</v>
      </c>
      <c r="AP591" s="470" t="s">
        <v>26</v>
      </c>
      <c r="AQ591" s="466" t="s">
        <v>24</v>
      </c>
      <c r="AR591" s="468" t="s">
        <v>25</v>
      </c>
      <c r="AS591" s="470" t="s">
        <v>26</v>
      </c>
      <c r="AT591" s="555" t="s">
        <v>24</v>
      </c>
      <c r="AU591" s="472" t="s">
        <v>27</v>
      </c>
    </row>
    <row r="592" spans="1:47" ht="15" customHeight="1">
      <c r="A592" s="539"/>
      <c r="B592" s="525"/>
      <c r="C592" s="525"/>
      <c r="D592" s="525"/>
      <c r="E592" s="525"/>
      <c r="F592" s="543"/>
      <c r="G592" s="505"/>
      <c r="H592" s="495"/>
      <c r="I592" s="497"/>
      <c r="J592" s="505"/>
      <c r="K592" s="495"/>
      <c r="L592" s="497"/>
      <c r="M592" s="505"/>
      <c r="N592" s="495"/>
      <c r="O592" s="497"/>
      <c r="P592" s="505"/>
      <c r="Q592" s="495"/>
      <c r="R592" s="497"/>
      <c r="S592" s="505"/>
      <c r="T592" s="495"/>
      <c r="U592" s="497"/>
      <c r="V592" s="505"/>
      <c r="W592" s="495"/>
      <c r="X592" s="535"/>
      <c r="Y592" s="505"/>
      <c r="Z592" s="495"/>
      <c r="AA592" s="497"/>
      <c r="AB592" s="505"/>
      <c r="AC592" s="495"/>
      <c r="AD592" s="497"/>
      <c r="AE592" s="505"/>
      <c r="AF592" s="495"/>
      <c r="AG592" s="497"/>
      <c r="AH592" s="505"/>
      <c r="AI592" s="495"/>
      <c r="AJ592" s="497"/>
      <c r="AK592" s="505"/>
      <c r="AL592" s="495"/>
      <c r="AM592" s="497"/>
      <c r="AN592" s="505"/>
      <c r="AO592" s="495"/>
      <c r="AP592" s="497"/>
      <c r="AQ592" s="505"/>
      <c r="AR592" s="495"/>
      <c r="AS592" s="497"/>
      <c r="AT592" s="537"/>
      <c r="AU592" s="545"/>
    </row>
    <row r="593" spans="1:47" ht="15" customHeight="1">
      <c r="A593" s="526" t="s">
        <v>204</v>
      </c>
      <c r="B593" s="540" t="s">
        <v>411</v>
      </c>
      <c r="C593" s="528">
        <v>1809</v>
      </c>
      <c r="D593" s="530" t="s">
        <v>412</v>
      </c>
      <c r="E593" s="532" t="s">
        <v>413</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526"/>
      <c r="B594" s="540"/>
      <c r="C594" s="528"/>
      <c r="D594" s="530"/>
      <c r="E594" s="532"/>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15174000</v>
      </c>
    </row>
    <row r="595" spans="1:47">
      <c r="A595" s="526"/>
      <c r="B595" s="540"/>
      <c r="C595" s="528"/>
      <c r="D595" s="530"/>
      <c r="E595" s="532"/>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80000</v>
      </c>
      <c r="AF595" s="169">
        <f t="shared" si="694"/>
        <v>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526"/>
      <c r="B596" s="540"/>
      <c r="C596" s="528"/>
      <c r="D596" s="530"/>
      <c r="E596" s="532"/>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10874000</v>
      </c>
    </row>
    <row r="597" spans="1:47">
      <c r="A597" s="526"/>
      <c r="B597" s="540"/>
      <c r="C597" s="528"/>
      <c r="D597" s="530"/>
      <c r="E597" s="532"/>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526"/>
      <c r="B598" s="540"/>
      <c r="C598" s="528"/>
      <c r="D598" s="530"/>
      <c r="E598" s="532"/>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526"/>
      <c r="B599" s="540"/>
      <c r="C599" s="528"/>
      <c r="D599" s="530"/>
      <c r="E599" s="532"/>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526"/>
      <c r="B600" s="540"/>
      <c r="C600" s="528"/>
      <c r="D600" s="530"/>
      <c r="E600" s="532"/>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0.2688875708448662</v>
      </c>
    </row>
    <row r="601" spans="1:47" ht="95.25" customHeight="1">
      <c r="A601" s="527"/>
      <c r="B601" s="541"/>
      <c r="C601" s="529"/>
      <c r="D601" s="531"/>
      <c r="E601" s="533"/>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538" t="s">
        <v>22</v>
      </c>
      <c r="B602" s="524" t="s">
        <v>18</v>
      </c>
      <c r="C602" s="524" t="s">
        <v>19</v>
      </c>
      <c r="D602" s="524" t="s">
        <v>203</v>
      </c>
      <c r="E602" s="524" t="s">
        <v>21</v>
      </c>
      <c r="F602" s="542" t="s">
        <v>23</v>
      </c>
      <c r="G602" s="504" t="s">
        <v>24</v>
      </c>
      <c r="H602" s="494" t="s">
        <v>25</v>
      </c>
      <c r="I602" s="496" t="s">
        <v>26</v>
      </c>
      <c r="J602" s="504" t="s">
        <v>24</v>
      </c>
      <c r="K602" s="494" t="s">
        <v>25</v>
      </c>
      <c r="L602" s="496" t="s">
        <v>26</v>
      </c>
      <c r="M602" s="504" t="s">
        <v>24</v>
      </c>
      <c r="N602" s="494" t="s">
        <v>25</v>
      </c>
      <c r="O602" s="496" t="s">
        <v>26</v>
      </c>
      <c r="P602" s="504" t="s">
        <v>24</v>
      </c>
      <c r="Q602" s="494" t="s">
        <v>25</v>
      </c>
      <c r="R602" s="496" t="s">
        <v>26</v>
      </c>
      <c r="S602" s="504" t="s">
        <v>24</v>
      </c>
      <c r="T602" s="494" t="s">
        <v>25</v>
      </c>
      <c r="U602" s="496" t="s">
        <v>26</v>
      </c>
      <c r="V602" s="504" t="s">
        <v>24</v>
      </c>
      <c r="W602" s="494" t="s">
        <v>25</v>
      </c>
      <c r="X602" s="534" t="s">
        <v>26</v>
      </c>
      <c r="Y602" s="504" t="s">
        <v>24</v>
      </c>
      <c r="Z602" s="494" t="s">
        <v>25</v>
      </c>
      <c r="AA602" s="496" t="s">
        <v>26</v>
      </c>
      <c r="AB602" s="504" t="s">
        <v>24</v>
      </c>
      <c r="AC602" s="494" t="s">
        <v>25</v>
      </c>
      <c r="AD602" s="496" t="s">
        <v>26</v>
      </c>
      <c r="AE602" s="504" t="s">
        <v>24</v>
      </c>
      <c r="AF602" s="494" t="s">
        <v>25</v>
      </c>
      <c r="AG602" s="496" t="s">
        <v>26</v>
      </c>
      <c r="AH602" s="504" t="s">
        <v>24</v>
      </c>
      <c r="AI602" s="494" t="s">
        <v>25</v>
      </c>
      <c r="AJ602" s="496" t="s">
        <v>26</v>
      </c>
      <c r="AK602" s="504" t="s">
        <v>24</v>
      </c>
      <c r="AL602" s="494" t="s">
        <v>25</v>
      </c>
      <c r="AM602" s="496" t="s">
        <v>26</v>
      </c>
      <c r="AN602" s="504" t="s">
        <v>24</v>
      </c>
      <c r="AO602" s="494" t="s">
        <v>25</v>
      </c>
      <c r="AP602" s="496" t="s">
        <v>26</v>
      </c>
      <c r="AQ602" s="504" t="s">
        <v>24</v>
      </c>
      <c r="AR602" s="494" t="s">
        <v>25</v>
      </c>
      <c r="AS602" s="496" t="s">
        <v>26</v>
      </c>
      <c r="AT602" s="536" t="s">
        <v>24</v>
      </c>
      <c r="AU602" s="544" t="s">
        <v>27</v>
      </c>
    </row>
    <row r="603" spans="1:47" ht="18.75" customHeight="1">
      <c r="A603" s="539"/>
      <c r="B603" s="525"/>
      <c r="C603" s="525"/>
      <c r="D603" s="525"/>
      <c r="E603" s="525"/>
      <c r="F603" s="543"/>
      <c r="G603" s="505"/>
      <c r="H603" s="495"/>
      <c r="I603" s="497"/>
      <c r="J603" s="505"/>
      <c r="K603" s="495"/>
      <c r="L603" s="497"/>
      <c r="M603" s="505"/>
      <c r="N603" s="495"/>
      <c r="O603" s="497"/>
      <c r="P603" s="505"/>
      <c r="Q603" s="495"/>
      <c r="R603" s="497"/>
      <c r="S603" s="505"/>
      <c r="T603" s="495"/>
      <c r="U603" s="497"/>
      <c r="V603" s="505"/>
      <c r="W603" s="495"/>
      <c r="X603" s="535"/>
      <c r="Y603" s="505"/>
      <c r="Z603" s="495"/>
      <c r="AA603" s="497"/>
      <c r="AB603" s="505"/>
      <c r="AC603" s="495"/>
      <c r="AD603" s="497"/>
      <c r="AE603" s="505"/>
      <c r="AF603" s="495"/>
      <c r="AG603" s="497"/>
      <c r="AH603" s="505"/>
      <c r="AI603" s="495"/>
      <c r="AJ603" s="497"/>
      <c r="AK603" s="505"/>
      <c r="AL603" s="495"/>
      <c r="AM603" s="497"/>
      <c r="AN603" s="505"/>
      <c r="AO603" s="495"/>
      <c r="AP603" s="497"/>
      <c r="AQ603" s="505"/>
      <c r="AR603" s="495"/>
      <c r="AS603" s="497"/>
      <c r="AT603" s="537"/>
      <c r="AU603" s="545"/>
    </row>
    <row r="604" spans="1:47" ht="30.75" customHeight="1">
      <c r="A604" s="526" t="s">
        <v>204</v>
      </c>
      <c r="B604" s="540" t="s">
        <v>221</v>
      </c>
      <c r="C604" s="528">
        <v>2086</v>
      </c>
      <c r="D604" s="530" t="s">
        <v>222</v>
      </c>
      <c r="E604" s="532" t="s">
        <v>223</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526"/>
      <c r="B605" s="540"/>
      <c r="C605" s="528"/>
      <c r="D605" s="530"/>
      <c r="E605" s="532"/>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526"/>
      <c r="B606" s="540"/>
      <c r="C606" s="528"/>
      <c r="D606" s="530"/>
      <c r="E606" s="532"/>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526"/>
      <c r="B607" s="540"/>
      <c r="C607" s="528"/>
      <c r="D607" s="530"/>
      <c r="E607" s="532"/>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526"/>
      <c r="B608" s="540"/>
      <c r="C608" s="528"/>
      <c r="D608" s="530"/>
      <c r="E608" s="532"/>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526"/>
      <c r="B609" s="540"/>
      <c r="C609" s="528"/>
      <c r="D609" s="530"/>
      <c r="E609" s="532"/>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526"/>
      <c r="B610" s="540"/>
      <c r="C610" s="528"/>
      <c r="D610" s="530"/>
      <c r="E610" s="532"/>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526"/>
      <c r="B611" s="540"/>
      <c r="C611" s="528"/>
      <c r="D611" s="530"/>
      <c r="E611" s="532"/>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527"/>
      <c r="B612" s="541"/>
      <c r="C612" s="529"/>
      <c r="D612" s="531"/>
      <c r="E612" s="533"/>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467" t="s">
        <v>22</v>
      </c>
      <c r="B613" s="490" t="s">
        <v>18</v>
      </c>
      <c r="C613" s="490" t="s">
        <v>19</v>
      </c>
      <c r="D613" s="490" t="s">
        <v>203</v>
      </c>
      <c r="E613" s="490" t="s">
        <v>21</v>
      </c>
      <c r="F613" s="492" t="s">
        <v>23</v>
      </c>
      <c r="G613" s="465" t="s">
        <v>24</v>
      </c>
      <c r="H613" s="467" t="s">
        <v>25</v>
      </c>
      <c r="I613" s="469" t="s">
        <v>26</v>
      </c>
      <c r="J613" s="465" t="s">
        <v>24</v>
      </c>
      <c r="K613" s="467" t="s">
        <v>25</v>
      </c>
      <c r="L613" s="469" t="s">
        <v>26</v>
      </c>
      <c r="M613" s="465" t="s">
        <v>24</v>
      </c>
      <c r="N613" s="467" t="s">
        <v>25</v>
      </c>
      <c r="O613" s="469" t="s">
        <v>26</v>
      </c>
      <c r="P613" s="465" t="s">
        <v>24</v>
      </c>
      <c r="Q613" s="467" t="s">
        <v>25</v>
      </c>
      <c r="R613" s="469" t="s">
        <v>26</v>
      </c>
      <c r="S613" s="465" t="s">
        <v>24</v>
      </c>
      <c r="T613" s="467" t="s">
        <v>25</v>
      </c>
      <c r="U613" s="469" t="s">
        <v>26</v>
      </c>
      <c r="V613" s="465" t="s">
        <v>24</v>
      </c>
      <c r="W613" s="467" t="s">
        <v>25</v>
      </c>
      <c r="X613" s="469" t="s">
        <v>26</v>
      </c>
      <c r="Y613" s="465" t="s">
        <v>24</v>
      </c>
      <c r="Z613" s="467" t="s">
        <v>25</v>
      </c>
      <c r="AA613" s="469" t="s">
        <v>26</v>
      </c>
      <c r="AB613" s="465" t="s">
        <v>24</v>
      </c>
      <c r="AC613" s="467" t="s">
        <v>25</v>
      </c>
      <c r="AD613" s="469" t="s">
        <v>26</v>
      </c>
      <c r="AE613" s="465" t="s">
        <v>24</v>
      </c>
      <c r="AF613" s="467" t="s">
        <v>25</v>
      </c>
      <c r="AG613" s="469" t="s">
        <v>26</v>
      </c>
      <c r="AH613" s="465" t="s">
        <v>24</v>
      </c>
      <c r="AI613" s="467" t="s">
        <v>25</v>
      </c>
      <c r="AJ613" s="469" t="s">
        <v>26</v>
      </c>
      <c r="AK613" s="465" t="s">
        <v>24</v>
      </c>
      <c r="AL613" s="467" t="s">
        <v>25</v>
      </c>
      <c r="AM613" s="469" t="s">
        <v>26</v>
      </c>
      <c r="AN613" s="465" t="s">
        <v>24</v>
      </c>
      <c r="AO613" s="467" t="s">
        <v>25</v>
      </c>
      <c r="AP613" s="469" t="s">
        <v>26</v>
      </c>
      <c r="AQ613" s="465" t="s">
        <v>24</v>
      </c>
      <c r="AR613" s="467" t="s">
        <v>25</v>
      </c>
      <c r="AS613" s="469" t="s">
        <v>26</v>
      </c>
      <c r="AT613" s="515" t="s">
        <v>24</v>
      </c>
      <c r="AU613" s="513" t="s">
        <v>27</v>
      </c>
    </row>
    <row r="614" spans="1:47">
      <c r="A614" s="468"/>
      <c r="B614" s="491"/>
      <c r="C614" s="491"/>
      <c r="D614" s="491"/>
      <c r="E614" s="491"/>
      <c r="F614" s="493"/>
      <c r="G614" s="466"/>
      <c r="H614" s="468"/>
      <c r="I614" s="470"/>
      <c r="J614" s="466"/>
      <c r="K614" s="468"/>
      <c r="L614" s="470"/>
      <c r="M614" s="466"/>
      <c r="N614" s="468"/>
      <c r="O614" s="470"/>
      <c r="P614" s="466"/>
      <c r="Q614" s="468"/>
      <c r="R614" s="470"/>
      <c r="S614" s="466"/>
      <c r="T614" s="468"/>
      <c r="U614" s="470"/>
      <c r="V614" s="466"/>
      <c r="W614" s="468"/>
      <c r="X614" s="470"/>
      <c r="Y614" s="466"/>
      <c r="Z614" s="468"/>
      <c r="AA614" s="470"/>
      <c r="AB614" s="466"/>
      <c r="AC614" s="468"/>
      <c r="AD614" s="470"/>
      <c r="AE614" s="466"/>
      <c r="AF614" s="468"/>
      <c r="AG614" s="470"/>
      <c r="AH614" s="466"/>
      <c r="AI614" s="468"/>
      <c r="AJ614" s="470"/>
      <c r="AK614" s="466"/>
      <c r="AL614" s="468"/>
      <c r="AM614" s="470"/>
      <c r="AN614" s="466"/>
      <c r="AO614" s="468"/>
      <c r="AP614" s="470"/>
      <c r="AQ614" s="466"/>
      <c r="AR614" s="468"/>
      <c r="AS614" s="470"/>
      <c r="AT614" s="516"/>
      <c r="AU614" s="514"/>
    </row>
    <row r="615" spans="1:47" ht="15" customHeight="1">
      <c r="A615" s="517" t="s">
        <v>414</v>
      </c>
      <c r="B615" s="476" t="s">
        <v>308</v>
      </c>
      <c r="C615" s="479">
        <v>3042</v>
      </c>
      <c r="D615" s="482" t="s">
        <v>415</v>
      </c>
      <c r="E615" s="520"/>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518"/>
      <c r="B616" s="477"/>
      <c r="C616" s="480"/>
      <c r="D616" s="483"/>
      <c r="E616" s="521"/>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1158000</v>
      </c>
    </row>
    <row r="617" spans="1:47">
      <c r="A617" s="518"/>
      <c r="B617" s="477"/>
      <c r="C617" s="480"/>
      <c r="D617" s="483"/>
      <c r="E617" s="521"/>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c r="AI617" s="11">
        <f t="shared" si="721"/>
        <v>0</v>
      </c>
      <c r="AJ617" s="12"/>
      <c r="AK617" s="13"/>
      <c r="AL617" s="11">
        <f t="shared" si="722"/>
        <v>0</v>
      </c>
      <c r="AM617" s="12"/>
      <c r="AN617" s="13"/>
      <c r="AO617" s="11">
        <f t="shared" si="723"/>
        <v>0</v>
      </c>
      <c r="AP617" s="12"/>
      <c r="AQ617" s="13"/>
      <c r="AR617" s="11">
        <f t="shared" si="724"/>
        <v>0</v>
      </c>
      <c r="AS617" s="12"/>
      <c r="AT617" s="3"/>
      <c r="AU617" s="7" t="s">
        <v>35</v>
      </c>
    </row>
    <row r="618" spans="1:47">
      <c r="A618" s="518"/>
      <c r="B618" s="477"/>
      <c r="C618" s="480"/>
      <c r="D618" s="483"/>
      <c r="E618" s="521"/>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1038000</v>
      </c>
    </row>
    <row r="619" spans="1:47">
      <c r="A619" s="518"/>
      <c r="B619" s="477"/>
      <c r="C619" s="480"/>
      <c r="D619" s="483"/>
      <c r="E619" s="521"/>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518"/>
      <c r="B620" s="477"/>
      <c r="C620" s="480"/>
      <c r="D620" s="483"/>
      <c r="E620" s="521"/>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v>870000</v>
      </c>
      <c r="AU620" s="63">
        <f>SUM(AA613:AA623,AD613:AD623,AG613:AG623,AJ613:AJ623,AM613:AM623,AP615:AP623,AS615:AS623)</f>
        <v>120000</v>
      </c>
    </row>
    <row r="621" spans="1:47">
      <c r="A621" s="518"/>
      <c r="B621" s="477"/>
      <c r="C621" s="480"/>
      <c r="D621" s="483"/>
      <c r="E621" s="521"/>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518"/>
      <c r="B622" s="477"/>
      <c r="C622" s="480"/>
      <c r="D622" s="483"/>
      <c r="E622" s="521"/>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0.10362694300518134</v>
      </c>
    </row>
    <row r="623" spans="1:47" ht="15.75" customHeight="1">
      <c r="A623" s="519"/>
      <c r="B623" s="478"/>
      <c r="C623" s="481"/>
      <c r="D623" s="484"/>
      <c r="E623" s="522"/>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467" t="s">
        <v>22</v>
      </c>
      <c r="B624" s="490" t="s">
        <v>18</v>
      </c>
      <c r="C624" s="490" t="s">
        <v>19</v>
      </c>
      <c r="D624" s="490" t="s">
        <v>203</v>
      </c>
      <c r="E624" s="490" t="s">
        <v>21</v>
      </c>
      <c r="F624" s="492" t="s">
        <v>23</v>
      </c>
      <c r="G624" s="465" t="s">
        <v>24</v>
      </c>
      <c r="H624" s="467" t="s">
        <v>25</v>
      </c>
      <c r="I624" s="469" t="s">
        <v>26</v>
      </c>
      <c r="J624" s="465" t="s">
        <v>24</v>
      </c>
      <c r="K624" s="467" t="s">
        <v>25</v>
      </c>
      <c r="L624" s="469" t="s">
        <v>26</v>
      </c>
      <c r="M624" s="465" t="s">
        <v>24</v>
      </c>
      <c r="N624" s="467" t="s">
        <v>25</v>
      </c>
      <c r="O624" s="469" t="s">
        <v>26</v>
      </c>
      <c r="P624" s="465" t="s">
        <v>24</v>
      </c>
      <c r="Q624" s="467" t="s">
        <v>25</v>
      </c>
      <c r="R624" s="469" t="s">
        <v>26</v>
      </c>
      <c r="S624" s="465" t="s">
        <v>24</v>
      </c>
      <c r="T624" s="467" t="s">
        <v>25</v>
      </c>
      <c r="U624" s="469" t="s">
        <v>26</v>
      </c>
      <c r="V624" s="465" t="s">
        <v>24</v>
      </c>
      <c r="W624" s="467" t="s">
        <v>25</v>
      </c>
      <c r="X624" s="469" t="s">
        <v>26</v>
      </c>
      <c r="Y624" s="465" t="s">
        <v>24</v>
      </c>
      <c r="Z624" s="467" t="s">
        <v>25</v>
      </c>
      <c r="AA624" s="469" t="s">
        <v>26</v>
      </c>
      <c r="AB624" s="465" t="s">
        <v>24</v>
      </c>
      <c r="AC624" s="467" t="s">
        <v>25</v>
      </c>
      <c r="AD624" s="469" t="s">
        <v>26</v>
      </c>
      <c r="AE624" s="465" t="s">
        <v>24</v>
      </c>
      <c r="AF624" s="467" t="s">
        <v>25</v>
      </c>
      <c r="AG624" s="469" t="s">
        <v>26</v>
      </c>
      <c r="AH624" s="465" t="s">
        <v>24</v>
      </c>
      <c r="AI624" s="467" t="s">
        <v>25</v>
      </c>
      <c r="AJ624" s="469" t="s">
        <v>26</v>
      </c>
      <c r="AK624" s="465" t="s">
        <v>24</v>
      </c>
      <c r="AL624" s="467" t="s">
        <v>25</v>
      </c>
      <c r="AM624" s="469" t="s">
        <v>26</v>
      </c>
      <c r="AN624" s="465" t="s">
        <v>24</v>
      </c>
      <c r="AO624" s="467" t="s">
        <v>25</v>
      </c>
      <c r="AP624" s="469" t="s">
        <v>26</v>
      </c>
      <c r="AQ624" s="465" t="s">
        <v>24</v>
      </c>
      <c r="AR624" s="467" t="s">
        <v>25</v>
      </c>
      <c r="AS624" s="469" t="s">
        <v>26</v>
      </c>
      <c r="AT624" s="515" t="s">
        <v>24</v>
      </c>
      <c r="AU624" s="513" t="s">
        <v>27</v>
      </c>
    </row>
    <row r="625" spans="1:47">
      <c r="A625" s="468"/>
      <c r="B625" s="491"/>
      <c r="C625" s="491"/>
      <c r="D625" s="491"/>
      <c r="E625" s="491"/>
      <c r="F625" s="493"/>
      <c r="G625" s="466"/>
      <c r="H625" s="468"/>
      <c r="I625" s="470"/>
      <c r="J625" s="466"/>
      <c r="K625" s="468"/>
      <c r="L625" s="470"/>
      <c r="M625" s="466"/>
      <c r="N625" s="468"/>
      <c r="O625" s="470"/>
      <c r="P625" s="466"/>
      <c r="Q625" s="468"/>
      <c r="R625" s="470"/>
      <c r="S625" s="466"/>
      <c r="T625" s="468"/>
      <c r="U625" s="470"/>
      <c r="V625" s="466"/>
      <c r="W625" s="468"/>
      <c r="X625" s="470"/>
      <c r="Y625" s="466"/>
      <c r="Z625" s="468"/>
      <c r="AA625" s="470"/>
      <c r="AB625" s="466"/>
      <c r="AC625" s="468"/>
      <c r="AD625" s="470"/>
      <c r="AE625" s="466"/>
      <c r="AF625" s="468"/>
      <c r="AG625" s="470"/>
      <c r="AH625" s="466"/>
      <c r="AI625" s="468"/>
      <c r="AJ625" s="470"/>
      <c r="AK625" s="466"/>
      <c r="AL625" s="468"/>
      <c r="AM625" s="470"/>
      <c r="AN625" s="466"/>
      <c r="AO625" s="468"/>
      <c r="AP625" s="470"/>
      <c r="AQ625" s="466"/>
      <c r="AR625" s="468"/>
      <c r="AS625" s="470"/>
      <c r="AT625" s="516"/>
      <c r="AU625" s="514"/>
    </row>
    <row r="626" spans="1:47" ht="15" customHeight="1">
      <c r="A626" s="517" t="s">
        <v>414</v>
      </c>
      <c r="B626" s="476" t="s">
        <v>416</v>
      </c>
      <c r="C626" s="479">
        <v>3370</v>
      </c>
      <c r="D626" s="482" t="s">
        <v>417</v>
      </c>
      <c r="E626" s="520"/>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518"/>
      <c r="B627" s="477"/>
      <c r="C627" s="480"/>
      <c r="D627" s="483"/>
      <c r="E627" s="521"/>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518"/>
      <c r="B628" s="477"/>
      <c r="C628" s="480"/>
      <c r="D628" s="483"/>
      <c r="E628" s="521"/>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518"/>
      <c r="B629" s="477"/>
      <c r="C629" s="480"/>
      <c r="D629" s="483"/>
      <c r="E629" s="521"/>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518"/>
      <c r="B630" s="477"/>
      <c r="C630" s="480"/>
      <c r="D630" s="483"/>
      <c r="E630" s="521"/>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518"/>
      <c r="B631" s="477"/>
      <c r="C631" s="480"/>
      <c r="D631" s="483"/>
      <c r="E631" s="521"/>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518"/>
      <c r="B632" s="477"/>
      <c r="C632" s="480"/>
      <c r="D632" s="483"/>
      <c r="E632" s="521"/>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518"/>
      <c r="B633" s="477"/>
      <c r="C633" s="480"/>
      <c r="D633" s="483"/>
      <c r="E633" s="521"/>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519"/>
      <c r="B634" s="478"/>
      <c r="C634" s="481"/>
      <c r="D634" s="484"/>
      <c r="E634" s="522"/>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467" t="s">
        <v>22</v>
      </c>
      <c r="B635" s="490" t="s">
        <v>18</v>
      </c>
      <c r="C635" s="490" t="s">
        <v>19</v>
      </c>
      <c r="D635" s="490" t="s">
        <v>203</v>
      </c>
      <c r="E635" s="490" t="s">
        <v>21</v>
      </c>
      <c r="F635" s="492" t="s">
        <v>23</v>
      </c>
      <c r="G635" s="465" t="s">
        <v>24</v>
      </c>
      <c r="H635" s="467" t="s">
        <v>25</v>
      </c>
      <c r="I635" s="469" t="s">
        <v>26</v>
      </c>
      <c r="J635" s="465" t="s">
        <v>24</v>
      </c>
      <c r="K635" s="467" t="s">
        <v>25</v>
      </c>
      <c r="L635" s="469" t="s">
        <v>26</v>
      </c>
      <c r="M635" s="465" t="s">
        <v>24</v>
      </c>
      <c r="N635" s="467" t="s">
        <v>25</v>
      </c>
      <c r="O635" s="469" t="s">
        <v>26</v>
      </c>
      <c r="P635" s="465" t="s">
        <v>24</v>
      </c>
      <c r="Q635" s="467" t="s">
        <v>25</v>
      </c>
      <c r="R635" s="469" t="s">
        <v>26</v>
      </c>
      <c r="S635" s="465" t="s">
        <v>24</v>
      </c>
      <c r="T635" s="467" t="s">
        <v>25</v>
      </c>
      <c r="U635" s="469" t="s">
        <v>26</v>
      </c>
      <c r="V635" s="465" t="s">
        <v>24</v>
      </c>
      <c r="W635" s="467" t="s">
        <v>25</v>
      </c>
      <c r="X635" s="469" t="s">
        <v>26</v>
      </c>
      <c r="Y635" s="465" t="s">
        <v>24</v>
      </c>
      <c r="Z635" s="467" t="s">
        <v>25</v>
      </c>
      <c r="AA635" s="469" t="s">
        <v>26</v>
      </c>
      <c r="AB635" s="465" t="s">
        <v>24</v>
      </c>
      <c r="AC635" s="467" t="s">
        <v>25</v>
      </c>
      <c r="AD635" s="469" t="s">
        <v>26</v>
      </c>
      <c r="AE635" s="465" t="s">
        <v>24</v>
      </c>
      <c r="AF635" s="467" t="s">
        <v>25</v>
      </c>
      <c r="AG635" s="469" t="s">
        <v>26</v>
      </c>
      <c r="AH635" s="465" t="s">
        <v>24</v>
      </c>
      <c r="AI635" s="467" t="s">
        <v>25</v>
      </c>
      <c r="AJ635" s="469" t="s">
        <v>26</v>
      </c>
      <c r="AK635" s="465" t="s">
        <v>24</v>
      </c>
      <c r="AL635" s="467" t="s">
        <v>25</v>
      </c>
      <c r="AM635" s="469" t="s">
        <v>26</v>
      </c>
      <c r="AN635" s="465" t="s">
        <v>24</v>
      </c>
      <c r="AO635" s="467" t="s">
        <v>25</v>
      </c>
      <c r="AP635" s="469" t="s">
        <v>26</v>
      </c>
      <c r="AQ635" s="465" t="s">
        <v>24</v>
      </c>
      <c r="AR635" s="467" t="s">
        <v>25</v>
      </c>
      <c r="AS635" s="469" t="s">
        <v>26</v>
      </c>
      <c r="AT635" s="515" t="s">
        <v>24</v>
      </c>
      <c r="AU635" s="513" t="s">
        <v>27</v>
      </c>
    </row>
    <row r="636" spans="1:47">
      <c r="A636" s="468"/>
      <c r="B636" s="491"/>
      <c r="C636" s="491"/>
      <c r="D636" s="491"/>
      <c r="E636" s="491"/>
      <c r="F636" s="493"/>
      <c r="G636" s="466"/>
      <c r="H636" s="468"/>
      <c r="I636" s="470"/>
      <c r="J636" s="466"/>
      <c r="K636" s="468"/>
      <c r="L636" s="470"/>
      <c r="M636" s="466"/>
      <c r="N636" s="468"/>
      <c r="O636" s="470"/>
      <c r="P636" s="466"/>
      <c r="Q636" s="468"/>
      <c r="R636" s="470"/>
      <c r="S636" s="466"/>
      <c r="T636" s="468"/>
      <c r="U636" s="470"/>
      <c r="V636" s="466"/>
      <c r="W636" s="468"/>
      <c r="X636" s="470"/>
      <c r="Y636" s="466"/>
      <c r="Z636" s="468"/>
      <c r="AA636" s="470"/>
      <c r="AB636" s="466"/>
      <c r="AC636" s="468"/>
      <c r="AD636" s="470"/>
      <c r="AE636" s="466"/>
      <c r="AF636" s="468"/>
      <c r="AG636" s="470"/>
      <c r="AH636" s="466"/>
      <c r="AI636" s="468"/>
      <c r="AJ636" s="470"/>
      <c r="AK636" s="466"/>
      <c r="AL636" s="468"/>
      <c r="AM636" s="470"/>
      <c r="AN636" s="466"/>
      <c r="AO636" s="468"/>
      <c r="AP636" s="470"/>
      <c r="AQ636" s="466"/>
      <c r="AR636" s="468"/>
      <c r="AS636" s="470"/>
      <c r="AT636" s="516"/>
      <c r="AU636" s="514"/>
    </row>
    <row r="637" spans="1:47" ht="15" customHeight="1">
      <c r="A637" s="517" t="s">
        <v>414</v>
      </c>
      <c r="B637" s="476" t="s">
        <v>418</v>
      </c>
      <c r="C637" s="479">
        <v>436</v>
      </c>
      <c r="D637" s="482" t="s">
        <v>419</v>
      </c>
      <c r="E637" s="520"/>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2">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518"/>
      <c r="B638" s="477"/>
      <c r="C638" s="480"/>
      <c r="D638" s="483"/>
      <c r="E638" s="521"/>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518"/>
      <c r="B639" s="477"/>
      <c r="C639" s="480"/>
      <c r="D639" s="483"/>
      <c r="E639" s="521"/>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518"/>
      <c r="B640" s="477"/>
      <c r="C640" s="480"/>
      <c r="D640" s="483"/>
      <c r="E640" s="521"/>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518"/>
      <c r="B641" s="477"/>
      <c r="C641" s="480"/>
      <c r="D641" s="483"/>
      <c r="E641" s="521"/>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518"/>
      <c r="B642" s="477"/>
      <c r="C642" s="480"/>
      <c r="D642" s="483"/>
      <c r="E642" s="521"/>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518"/>
      <c r="B643" s="477"/>
      <c r="C643" s="480"/>
      <c r="D643" s="483"/>
      <c r="E643" s="521"/>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518"/>
      <c r="B644" s="477"/>
      <c r="C644" s="480"/>
      <c r="D644" s="483"/>
      <c r="E644" s="521"/>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519"/>
      <c r="B645" s="478"/>
      <c r="C645" s="481"/>
      <c r="D645" s="484"/>
      <c r="E645" s="522"/>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467" t="s">
        <v>22</v>
      </c>
      <c r="B646" s="490" t="s">
        <v>18</v>
      </c>
      <c r="C646" s="490" t="s">
        <v>19</v>
      </c>
      <c r="D646" s="490" t="s">
        <v>203</v>
      </c>
      <c r="E646" s="490" t="s">
        <v>21</v>
      </c>
      <c r="F646" s="492" t="s">
        <v>23</v>
      </c>
      <c r="G646" s="465" t="s">
        <v>24</v>
      </c>
      <c r="H646" s="467" t="s">
        <v>25</v>
      </c>
      <c r="I646" s="469" t="s">
        <v>26</v>
      </c>
      <c r="J646" s="465" t="s">
        <v>24</v>
      </c>
      <c r="K646" s="467" t="s">
        <v>25</v>
      </c>
      <c r="L646" s="469" t="s">
        <v>26</v>
      </c>
      <c r="M646" s="465" t="s">
        <v>24</v>
      </c>
      <c r="N646" s="467" t="s">
        <v>25</v>
      </c>
      <c r="O646" s="469" t="s">
        <v>26</v>
      </c>
      <c r="P646" s="465" t="s">
        <v>24</v>
      </c>
      <c r="Q646" s="467" t="s">
        <v>25</v>
      </c>
      <c r="R646" s="469" t="s">
        <v>26</v>
      </c>
      <c r="S646" s="465" t="s">
        <v>24</v>
      </c>
      <c r="T646" s="467" t="s">
        <v>25</v>
      </c>
      <c r="U646" s="469" t="s">
        <v>26</v>
      </c>
      <c r="V646" s="465" t="s">
        <v>24</v>
      </c>
      <c r="W646" s="467" t="s">
        <v>25</v>
      </c>
      <c r="X646" s="469" t="s">
        <v>26</v>
      </c>
      <c r="Y646" s="465" t="s">
        <v>24</v>
      </c>
      <c r="Z646" s="467" t="s">
        <v>25</v>
      </c>
      <c r="AA646" s="469" t="s">
        <v>26</v>
      </c>
      <c r="AB646" s="465" t="s">
        <v>24</v>
      </c>
      <c r="AC646" s="467" t="s">
        <v>25</v>
      </c>
      <c r="AD646" s="469" t="s">
        <v>26</v>
      </c>
      <c r="AE646" s="465" t="s">
        <v>24</v>
      </c>
      <c r="AF646" s="467" t="s">
        <v>25</v>
      </c>
      <c r="AG646" s="469" t="s">
        <v>26</v>
      </c>
      <c r="AH646" s="465" t="s">
        <v>24</v>
      </c>
      <c r="AI646" s="467" t="s">
        <v>25</v>
      </c>
      <c r="AJ646" s="469" t="s">
        <v>26</v>
      </c>
      <c r="AK646" s="465" t="s">
        <v>24</v>
      </c>
      <c r="AL646" s="467" t="s">
        <v>25</v>
      </c>
      <c r="AM646" s="469" t="s">
        <v>26</v>
      </c>
      <c r="AN646" s="465" t="s">
        <v>24</v>
      </c>
      <c r="AO646" s="467" t="s">
        <v>25</v>
      </c>
      <c r="AP646" s="469" t="s">
        <v>26</v>
      </c>
      <c r="AQ646" s="465" t="s">
        <v>24</v>
      </c>
      <c r="AR646" s="467" t="s">
        <v>25</v>
      </c>
      <c r="AS646" s="469" t="s">
        <v>26</v>
      </c>
      <c r="AT646" s="515" t="s">
        <v>24</v>
      </c>
      <c r="AU646" s="513" t="s">
        <v>27</v>
      </c>
    </row>
    <row r="647" spans="1:47">
      <c r="A647" s="468"/>
      <c r="B647" s="491"/>
      <c r="C647" s="491"/>
      <c r="D647" s="491"/>
      <c r="E647" s="491"/>
      <c r="F647" s="493"/>
      <c r="G647" s="466"/>
      <c r="H647" s="468"/>
      <c r="I647" s="470"/>
      <c r="J647" s="466"/>
      <c r="K647" s="468"/>
      <c r="L647" s="470"/>
      <c r="M647" s="466"/>
      <c r="N647" s="468"/>
      <c r="O647" s="470"/>
      <c r="P647" s="466"/>
      <c r="Q647" s="468"/>
      <c r="R647" s="470"/>
      <c r="S647" s="466"/>
      <c r="T647" s="468"/>
      <c r="U647" s="470"/>
      <c r="V647" s="466"/>
      <c r="W647" s="468"/>
      <c r="X647" s="470"/>
      <c r="Y647" s="466"/>
      <c r="Z647" s="468"/>
      <c r="AA647" s="470"/>
      <c r="AB647" s="466"/>
      <c r="AC647" s="468"/>
      <c r="AD647" s="470"/>
      <c r="AE647" s="466"/>
      <c r="AF647" s="468"/>
      <c r="AG647" s="470"/>
      <c r="AH647" s="466"/>
      <c r="AI647" s="468"/>
      <c r="AJ647" s="470"/>
      <c r="AK647" s="466"/>
      <c r="AL647" s="468"/>
      <c r="AM647" s="470"/>
      <c r="AN647" s="466"/>
      <c r="AO647" s="468"/>
      <c r="AP647" s="470"/>
      <c r="AQ647" s="466"/>
      <c r="AR647" s="468"/>
      <c r="AS647" s="470"/>
      <c r="AT647" s="516"/>
      <c r="AU647" s="514"/>
    </row>
    <row r="648" spans="1:47" ht="15" customHeight="1">
      <c r="A648" s="517" t="s">
        <v>420</v>
      </c>
      <c r="B648" s="476" t="s">
        <v>421</v>
      </c>
      <c r="C648" s="479">
        <v>3141</v>
      </c>
      <c r="D648" s="523" t="s">
        <v>422</v>
      </c>
      <c r="E648" s="520"/>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518"/>
      <c r="B649" s="477"/>
      <c r="C649" s="480"/>
      <c r="D649" s="483"/>
      <c r="E649" s="521"/>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518"/>
      <c r="B650" s="477"/>
      <c r="C650" s="480"/>
      <c r="D650" s="483"/>
      <c r="E650" s="521"/>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518"/>
      <c r="B651" s="477"/>
      <c r="C651" s="480"/>
      <c r="D651" s="483"/>
      <c r="E651" s="521"/>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518"/>
      <c r="B652" s="477"/>
      <c r="C652" s="480"/>
      <c r="D652" s="483"/>
      <c r="E652" s="521"/>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518"/>
      <c r="B653" s="477"/>
      <c r="C653" s="480"/>
      <c r="D653" s="483"/>
      <c r="E653" s="521"/>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518"/>
      <c r="B654" s="477"/>
      <c r="C654" s="480"/>
      <c r="D654" s="483"/>
      <c r="E654" s="521"/>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518"/>
      <c r="B655" s="477"/>
      <c r="C655" s="480"/>
      <c r="D655" s="483"/>
      <c r="E655" s="521"/>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519"/>
      <c r="B656" s="478"/>
      <c r="C656" s="481"/>
      <c r="D656" s="484"/>
      <c r="E656" s="522"/>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467" t="s">
        <v>22</v>
      </c>
      <c r="B657" s="490" t="s">
        <v>18</v>
      </c>
      <c r="C657" s="490" t="s">
        <v>19</v>
      </c>
      <c r="D657" s="490" t="s">
        <v>203</v>
      </c>
      <c r="E657" s="490" t="s">
        <v>21</v>
      </c>
      <c r="F657" s="492" t="s">
        <v>23</v>
      </c>
      <c r="G657" s="465" t="s">
        <v>24</v>
      </c>
      <c r="H657" s="467" t="s">
        <v>25</v>
      </c>
      <c r="I657" s="469" t="s">
        <v>26</v>
      </c>
      <c r="J657" s="465" t="s">
        <v>24</v>
      </c>
      <c r="K657" s="467" t="s">
        <v>25</v>
      </c>
      <c r="L657" s="469" t="s">
        <v>26</v>
      </c>
      <c r="M657" s="465" t="s">
        <v>24</v>
      </c>
      <c r="N657" s="467" t="s">
        <v>25</v>
      </c>
      <c r="O657" s="469" t="s">
        <v>26</v>
      </c>
      <c r="P657" s="465" t="s">
        <v>24</v>
      </c>
      <c r="Q657" s="467" t="s">
        <v>25</v>
      </c>
      <c r="R657" s="469" t="s">
        <v>26</v>
      </c>
      <c r="S657" s="465" t="s">
        <v>24</v>
      </c>
      <c r="T657" s="467" t="s">
        <v>25</v>
      </c>
      <c r="U657" s="469" t="s">
        <v>26</v>
      </c>
      <c r="V657" s="465" t="s">
        <v>24</v>
      </c>
      <c r="W657" s="467" t="s">
        <v>25</v>
      </c>
      <c r="X657" s="469" t="s">
        <v>26</v>
      </c>
      <c r="Y657" s="465" t="s">
        <v>24</v>
      </c>
      <c r="Z657" s="467" t="s">
        <v>25</v>
      </c>
      <c r="AA657" s="469" t="s">
        <v>26</v>
      </c>
      <c r="AB657" s="465" t="s">
        <v>24</v>
      </c>
      <c r="AC657" s="467" t="s">
        <v>25</v>
      </c>
      <c r="AD657" s="469" t="s">
        <v>26</v>
      </c>
      <c r="AE657" s="465" t="s">
        <v>24</v>
      </c>
      <c r="AF657" s="467" t="s">
        <v>25</v>
      </c>
      <c r="AG657" s="469" t="s">
        <v>26</v>
      </c>
      <c r="AH657" s="465" t="s">
        <v>24</v>
      </c>
      <c r="AI657" s="467" t="s">
        <v>25</v>
      </c>
      <c r="AJ657" s="469" t="s">
        <v>26</v>
      </c>
      <c r="AK657" s="465" t="s">
        <v>24</v>
      </c>
      <c r="AL657" s="467" t="s">
        <v>25</v>
      </c>
      <c r="AM657" s="469" t="s">
        <v>26</v>
      </c>
      <c r="AN657" s="465" t="s">
        <v>24</v>
      </c>
      <c r="AO657" s="467" t="s">
        <v>25</v>
      </c>
      <c r="AP657" s="469" t="s">
        <v>26</v>
      </c>
      <c r="AQ657" s="465" t="s">
        <v>24</v>
      </c>
      <c r="AR657" s="467" t="s">
        <v>25</v>
      </c>
      <c r="AS657" s="469" t="s">
        <v>26</v>
      </c>
      <c r="AT657" s="515" t="s">
        <v>24</v>
      </c>
      <c r="AU657" s="513" t="s">
        <v>27</v>
      </c>
    </row>
    <row r="658" spans="1:47">
      <c r="A658" s="468"/>
      <c r="B658" s="491"/>
      <c r="C658" s="491"/>
      <c r="D658" s="491"/>
      <c r="E658" s="491"/>
      <c r="F658" s="493"/>
      <c r="G658" s="466"/>
      <c r="H658" s="468"/>
      <c r="I658" s="470"/>
      <c r="J658" s="466"/>
      <c r="K658" s="468"/>
      <c r="L658" s="470"/>
      <c r="M658" s="466"/>
      <c r="N658" s="468"/>
      <c r="O658" s="470"/>
      <c r="P658" s="466"/>
      <c r="Q658" s="468"/>
      <c r="R658" s="470"/>
      <c r="S658" s="466"/>
      <c r="T658" s="468"/>
      <c r="U658" s="470"/>
      <c r="V658" s="466"/>
      <c r="W658" s="468"/>
      <c r="X658" s="470"/>
      <c r="Y658" s="466"/>
      <c r="Z658" s="468"/>
      <c r="AA658" s="470"/>
      <c r="AB658" s="466"/>
      <c r="AC658" s="468"/>
      <c r="AD658" s="470"/>
      <c r="AE658" s="466"/>
      <c r="AF658" s="468"/>
      <c r="AG658" s="470"/>
      <c r="AH658" s="466"/>
      <c r="AI658" s="468"/>
      <c r="AJ658" s="470"/>
      <c r="AK658" s="466"/>
      <c r="AL658" s="468"/>
      <c r="AM658" s="470"/>
      <c r="AN658" s="466"/>
      <c r="AO658" s="468"/>
      <c r="AP658" s="470"/>
      <c r="AQ658" s="466"/>
      <c r="AR658" s="468"/>
      <c r="AS658" s="470"/>
      <c r="AT658" s="516"/>
      <c r="AU658" s="514"/>
    </row>
    <row r="659" spans="1:47" ht="15" customHeight="1">
      <c r="A659" s="517" t="s">
        <v>414</v>
      </c>
      <c r="B659" s="476" t="s">
        <v>423</v>
      </c>
      <c r="C659" s="479">
        <v>230</v>
      </c>
      <c r="D659" s="482" t="s">
        <v>424</v>
      </c>
      <c r="E659" s="520"/>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518"/>
      <c r="B660" s="477"/>
      <c r="C660" s="480"/>
      <c r="D660" s="483"/>
      <c r="E660" s="521"/>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9808000</v>
      </c>
    </row>
    <row r="661" spans="1:47">
      <c r="A661" s="518"/>
      <c r="B661" s="477"/>
      <c r="C661" s="480"/>
      <c r="D661" s="483"/>
      <c r="E661" s="521"/>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c r="AD661" s="12">
        <v>800000</v>
      </c>
      <c r="AE661" s="13"/>
      <c r="AF661" s="11">
        <f t="shared" si="772"/>
        <v>0</v>
      </c>
      <c r="AG661" s="12"/>
      <c r="AH661" s="13">
        <v>128000</v>
      </c>
      <c r="AI661" s="11">
        <f t="shared" si="773"/>
        <v>128000</v>
      </c>
      <c r="AJ661" s="12"/>
      <c r="AK661" s="13"/>
      <c r="AL661" s="11">
        <f t="shared" si="774"/>
        <v>0</v>
      </c>
      <c r="AM661" s="12"/>
      <c r="AN661" s="13"/>
      <c r="AO661" s="11">
        <f t="shared" si="775"/>
        <v>0</v>
      </c>
      <c r="AP661" s="12"/>
      <c r="AQ661" s="13"/>
      <c r="AR661" s="11">
        <f t="shared" si="776"/>
        <v>0</v>
      </c>
      <c r="AS661" s="12"/>
      <c r="AT661" s="3"/>
      <c r="AU661" s="7" t="s">
        <v>35</v>
      </c>
    </row>
    <row r="662" spans="1:47">
      <c r="A662" s="518"/>
      <c r="B662" s="477"/>
      <c r="C662" s="480"/>
      <c r="D662" s="483"/>
      <c r="E662" s="521"/>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8880000</v>
      </c>
    </row>
    <row r="663" spans="1:47">
      <c r="A663" s="518"/>
      <c r="B663" s="477"/>
      <c r="C663" s="480"/>
      <c r="D663" s="483"/>
      <c r="E663" s="521"/>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518"/>
      <c r="B664" s="477"/>
      <c r="C664" s="480"/>
      <c r="D664" s="483"/>
      <c r="E664" s="521"/>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518"/>
      <c r="B665" s="477"/>
      <c r="C665" s="480"/>
      <c r="D665" s="483"/>
      <c r="E665" s="521"/>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518"/>
      <c r="B666" s="477"/>
      <c r="C666" s="480"/>
      <c r="D666" s="483"/>
      <c r="E666" s="521"/>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8.1566068515497553E-2</v>
      </c>
    </row>
    <row r="667" spans="1:47" ht="15.75" customHeight="1">
      <c r="A667" s="519"/>
      <c r="B667" s="478"/>
      <c r="C667" s="481"/>
      <c r="D667" s="484"/>
      <c r="E667" s="522"/>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467" t="s">
        <v>22</v>
      </c>
      <c r="B668" s="490" t="s">
        <v>18</v>
      </c>
      <c r="C668" s="490" t="s">
        <v>19</v>
      </c>
      <c r="D668" s="490" t="s">
        <v>203</v>
      </c>
      <c r="E668" s="490" t="s">
        <v>21</v>
      </c>
      <c r="F668" s="492" t="s">
        <v>23</v>
      </c>
      <c r="G668" s="465" t="s">
        <v>24</v>
      </c>
      <c r="H668" s="467" t="s">
        <v>25</v>
      </c>
      <c r="I668" s="469" t="s">
        <v>26</v>
      </c>
      <c r="J668" s="465" t="s">
        <v>24</v>
      </c>
      <c r="K668" s="467" t="s">
        <v>25</v>
      </c>
      <c r="L668" s="469" t="s">
        <v>26</v>
      </c>
      <c r="M668" s="465" t="s">
        <v>24</v>
      </c>
      <c r="N668" s="467" t="s">
        <v>25</v>
      </c>
      <c r="O668" s="469" t="s">
        <v>26</v>
      </c>
      <c r="P668" s="465" t="s">
        <v>24</v>
      </c>
      <c r="Q668" s="467" t="s">
        <v>25</v>
      </c>
      <c r="R668" s="469" t="s">
        <v>26</v>
      </c>
      <c r="S668" s="465" t="s">
        <v>24</v>
      </c>
      <c r="T668" s="467" t="s">
        <v>25</v>
      </c>
      <c r="U668" s="469" t="s">
        <v>26</v>
      </c>
      <c r="V668" s="465" t="s">
        <v>24</v>
      </c>
      <c r="W668" s="467" t="s">
        <v>25</v>
      </c>
      <c r="X668" s="469" t="s">
        <v>26</v>
      </c>
      <c r="Y668" s="465" t="s">
        <v>24</v>
      </c>
      <c r="Z668" s="467" t="s">
        <v>25</v>
      </c>
      <c r="AA668" s="469" t="s">
        <v>26</v>
      </c>
      <c r="AB668" s="465" t="s">
        <v>24</v>
      </c>
      <c r="AC668" s="467" t="s">
        <v>25</v>
      </c>
      <c r="AD668" s="469" t="s">
        <v>26</v>
      </c>
      <c r="AE668" s="465" t="s">
        <v>24</v>
      </c>
      <c r="AF668" s="467" t="s">
        <v>25</v>
      </c>
      <c r="AG668" s="469" t="s">
        <v>26</v>
      </c>
      <c r="AH668" s="465" t="s">
        <v>24</v>
      </c>
      <c r="AI668" s="467" t="s">
        <v>25</v>
      </c>
      <c r="AJ668" s="469" t="s">
        <v>26</v>
      </c>
      <c r="AK668" s="465" t="s">
        <v>24</v>
      </c>
      <c r="AL668" s="467" t="s">
        <v>25</v>
      </c>
      <c r="AM668" s="469" t="s">
        <v>26</v>
      </c>
      <c r="AN668" s="465" t="s">
        <v>24</v>
      </c>
      <c r="AO668" s="467" t="s">
        <v>25</v>
      </c>
      <c r="AP668" s="469" t="s">
        <v>26</v>
      </c>
      <c r="AQ668" s="465" t="s">
        <v>24</v>
      </c>
      <c r="AR668" s="467" t="s">
        <v>25</v>
      </c>
      <c r="AS668" s="469" t="s">
        <v>26</v>
      </c>
      <c r="AT668" s="515" t="s">
        <v>24</v>
      </c>
      <c r="AU668" s="513" t="s">
        <v>27</v>
      </c>
    </row>
    <row r="669" spans="1:47">
      <c r="A669" s="468"/>
      <c r="B669" s="491"/>
      <c r="C669" s="491"/>
      <c r="D669" s="491"/>
      <c r="E669" s="491"/>
      <c r="F669" s="493"/>
      <c r="G669" s="466"/>
      <c r="H669" s="468"/>
      <c r="I669" s="470"/>
      <c r="J669" s="466"/>
      <c r="K669" s="468"/>
      <c r="L669" s="470"/>
      <c r="M669" s="466"/>
      <c r="N669" s="468"/>
      <c r="O669" s="470"/>
      <c r="P669" s="466"/>
      <c r="Q669" s="468"/>
      <c r="R669" s="470"/>
      <c r="S669" s="466"/>
      <c r="T669" s="468"/>
      <c r="U669" s="470"/>
      <c r="V669" s="466"/>
      <c r="W669" s="468"/>
      <c r="X669" s="470"/>
      <c r="Y669" s="466"/>
      <c r="Z669" s="468"/>
      <c r="AA669" s="470"/>
      <c r="AB669" s="466"/>
      <c r="AC669" s="468"/>
      <c r="AD669" s="470"/>
      <c r="AE669" s="466"/>
      <c r="AF669" s="468"/>
      <c r="AG669" s="470"/>
      <c r="AH669" s="466"/>
      <c r="AI669" s="468"/>
      <c r="AJ669" s="470"/>
      <c r="AK669" s="466"/>
      <c r="AL669" s="468"/>
      <c r="AM669" s="470"/>
      <c r="AN669" s="466"/>
      <c r="AO669" s="468"/>
      <c r="AP669" s="470"/>
      <c r="AQ669" s="466"/>
      <c r="AR669" s="468"/>
      <c r="AS669" s="470"/>
      <c r="AT669" s="516"/>
      <c r="AU669" s="514"/>
    </row>
    <row r="670" spans="1:47" ht="15" customHeight="1">
      <c r="A670" s="517" t="s">
        <v>204</v>
      </c>
      <c r="B670" s="476" t="s">
        <v>425</v>
      </c>
      <c r="C670" s="479">
        <v>3126</v>
      </c>
      <c r="D670" s="482"/>
      <c r="E670" s="520"/>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518"/>
      <c r="B671" s="477"/>
      <c r="C671" s="480"/>
      <c r="D671" s="483"/>
      <c r="E671" s="521"/>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518"/>
      <c r="B672" s="477"/>
      <c r="C672" s="480"/>
      <c r="D672" s="483"/>
      <c r="E672" s="521"/>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518"/>
      <c r="B673" s="477"/>
      <c r="C673" s="480"/>
      <c r="D673" s="483"/>
      <c r="E673" s="521"/>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518"/>
      <c r="B674" s="477"/>
      <c r="C674" s="480"/>
      <c r="D674" s="483"/>
      <c r="E674" s="521"/>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518"/>
      <c r="B675" s="477"/>
      <c r="C675" s="480"/>
      <c r="D675" s="483"/>
      <c r="E675" s="521"/>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518"/>
      <c r="B676" s="477"/>
      <c r="C676" s="480"/>
      <c r="D676" s="483"/>
      <c r="E676" s="521"/>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518"/>
      <c r="B677" s="477"/>
      <c r="C677" s="480"/>
      <c r="D677" s="483"/>
      <c r="E677" s="521"/>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519"/>
      <c r="B678" s="478"/>
      <c r="C678" s="481"/>
      <c r="D678" s="484"/>
      <c r="E678" s="522"/>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467" t="s">
        <v>22</v>
      </c>
      <c r="B679" s="490" t="s">
        <v>18</v>
      </c>
      <c r="C679" s="490" t="s">
        <v>19</v>
      </c>
      <c r="D679" s="490" t="s">
        <v>203</v>
      </c>
      <c r="E679" s="490" t="s">
        <v>21</v>
      </c>
      <c r="F679" s="492" t="s">
        <v>23</v>
      </c>
      <c r="G679" s="465" t="s">
        <v>24</v>
      </c>
      <c r="H679" s="467" t="s">
        <v>25</v>
      </c>
      <c r="I679" s="469" t="s">
        <v>26</v>
      </c>
      <c r="J679" s="465" t="s">
        <v>24</v>
      </c>
      <c r="K679" s="467" t="s">
        <v>25</v>
      </c>
      <c r="L679" s="469" t="s">
        <v>26</v>
      </c>
      <c r="M679" s="465" t="s">
        <v>24</v>
      </c>
      <c r="N679" s="467" t="s">
        <v>25</v>
      </c>
      <c r="O679" s="469" t="s">
        <v>26</v>
      </c>
      <c r="P679" s="465" t="s">
        <v>24</v>
      </c>
      <c r="Q679" s="467" t="s">
        <v>25</v>
      </c>
      <c r="R679" s="469" t="s">
        <v>26</v>
      </c>
      <c r="S679" s="465" t="s">
        <v>24</v>
      </c>
      <c r="T679" s="467" t="s">
        <v>25</v>
      </c>
      <c r="U679" s="469" t="s">
        <v>26</v>
      </c>
      <c r="V679" s="465" t="s">
        <v>24</v>
      </c>
      <c r="W679" s="467" t="s">
        <v>25</v>
      </c>
      <c r="X679" s="469" t="s">
        <v>26</v>
      </c>
      <c r="Y679" s="465" t="s">
        <v>24</v>
      </c>
      <c r="Z679" s="467" t="s">
        <v>25</v>
      </c>
      <c r="AA679" s="469" t="s">
        <v>26</v>
      </c>
      <c r="AB679" s="465" t="s">
        <v>24</v>
      </c>
      <c r="AC679" s="467" t="s">
        <v>25</v>
      </c>
      <c r="AD679" s="469" t="s">
        <v>26</v>
      </c>
      <c r="AE679" s="465" t="s">
        <v>24</v>
      </c>
      <c r="AF679" s="467" t="s">
        <v>25</v>
      </c>
      <c r="AG679" s="469" t="s">
        <v>26</v>
      </c>
      <c r="AH679" s="465" t="s">
        <v>24</v>
      </c>
      <c r="AI679" s="467" t="s">
        <v>25</v>
      </c>
      <c r="AJ679" s="469" t="s">
        <v>26</v>
      </c>
      <c r="AK679" s="465" t="s">
        <v>24</v>
      </c>
      <c r="AL679" s="467" t="s">
        <v>25</v>
      </c>
      <c r="AM679" s="469" t="s">
        <v>26</v>
      </c>
      <c r="AN679" s="465" t="s">
        <v>24</v>
      </c>
      <c r="AO679" s="467" t="s">
        <v>25</v>
      </c>
      <c r="AP679" s="469" t="s">
        <v>26</v>
      </c>
      <c r="AQ679" s="465" t="s">
        <v>24</v>
      </c>
      <c r="AR679" s="467" t="s">
        <v>25</v>
      </c>
      <c r="AS679" s="469" t="s">
        <v>26</v>
      </c>
      <c r="AT679" s="515" t="s">
        <v>24</v>
      </c>
      <c r="AU679" s="513" t="s">
        <v>27</v>
      </c>
    </row>
    <row r="680" spans="1:47">
      <c r="A680" s="468"/>
      <c r="B680" s="491"/>
      <c r="C680" s="491"/>
      <c r="D680" s="491"/>
      <c r="E680" s="491"/>
      <c r="F680" s="493"/>
      <c r="G680" s="466"/>
      <c r="H680" s="468"/>
      <c r="I680" s="470"/>
      <c r="J680" s="466"/>
      <c r="K680" s="468"/>
      <c r="L680" s="470"/>
      <c r="M680" s="466"/>
      <c r="N680" s="468"/>
      <c r="O680" s="470"/>
      <c r="P680" s="466"/>
      <c r="Q680" s="468"/>
      <c r="R680" s="470"/>
      <c r="S680" s="466"/>
      <c r="T680" s="468"/>
      <c r="U680" s="470"/>
      <c r="V680" s="466"/>
      <c r="W680" s="468"/>
      <c r="X680" s="470"/>
      <c r="Y680" s="466"/>
      <c r="Z680" s="468"/>
      <c r="AA680" s="470"/>
      <c r="AB680" s="466"/>
      <c r="AC680" s="468"/>
      <c r="AD680" s="470"/>
      <c r="AE680" s="466"/>
      <c r="AF680" s="468"/>
      <c r="AG680" s="470"/>
      <c r="AH680" s="466"/>
      <c r="AI680" s="468"/>
      <c r="AJ680" s="470"/>
      <c r="AK680" s="466"/>
      <c r="AL680" s="468"/>
      <c r="AM680" s="470"/>
      <c r="AN680" s="466"/>
      <c r="AO680" s="468"/>
      <c r="AP680" s="470"/>
      <c r="AQ680" s="466"/>
      <c r="AR680" s="468"/>
      <c r="AS680" s="470"/>
      <c r="AT680" s="516"/>
      <c r="AU680" s="514"/>
    </row>
    <row r="681" spans="1:47" ht="15" customHeight="1">
      <c r="A681" s="517" t="s">
        <v>414</v>
      </c>
      <c r="B681" s="476" t="s">
        <v>426</v>
      </c>
      <c r="C681" s="479">
        <v>3069</v>
      </c>
      <c r="D681" s="482" t="s">
        <v>427</v>
      </c>
      <c r="E681" s="520"/>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518"/>
      <c r="B682" s="477"/>
      <c r="C682" s="480"/>
      <c r="D682" s="483"/>
      <c r="E682" s="521"/>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518"/>
      <c r="B683" s="477"/>
      <c r="C683" s="480"/>
      <c r="D683" s="483"/>
      <c r="E683" s="521"/>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518"/>
      <c r="B684" s="477"/>
      <c r="C684" s="480"/>
      <c r="D684" s="483"/>
      <c r="E684" s="521"/>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518"/>
      <c r="B685" s="477"/>
      <c r="C685" s="480"/>
      <c r="D685" s="483"/>
      <c r="E685" s="521"/>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518"/>
      <c r="B686" s="477"/>
      <c r="C686" s="480"/>
      <c r="D686" s="483"/>
      <c r="E686" s="521"/>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518"/>
      <c r="B687" s="477"/>
      <c r="C687" s="480"/>
      <c r="D687" s="483"/>
      <c r="E687" s="521"/>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518"/>
      <c r="B688" s="477"/>
      <c r="C688" s="480"/>
      <c r="D688" s="483"/>
      <c r="E688" s="521"/>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519"/>
      <c r="B689" s="478"/>
      <c r="C689" s="481"/>
      <c r="D689" s="484"/>
      <c r="E689" s="522"/>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467" t="s">
        <v>22</v>
      </c>
      <c r="B690" s="490" t="s">
        <v>18</v>
      </c>
      <c r="C690" s="490" t="s">
        <v>19</v>
      </c>
      <c r="D690" s="490" t="s">
        <v>203</v>
      </c>
      <c r="E690" s="490" t="s">
        <v>21</v>
      </c>
      <c r="F690" s="492" t="s">
        <v>23</v>
      </c>
      <c r="G690" s="465" t="s">
        <v>24</v>
      </c>
      <c r="H690" s="467" t="s">
        <v>25</v>
      </c>
      <c r="I690" s="469" t="s">
        <v>26</v>
      </c>
      <c r="J690" s="465" t="s">
        <v>24</v>
      </c>
      <c r="K690" s="467" t="s">
        <v>25</v>
      </c>
      <c r="L690" s="469" t="s">
        <v>26</v>
      </c>
      <c r="M690" s="465" t="s">
        <v>24</v>
      </c>
      <c r="N690" s="467" t="s">
        <v>25</v>
      </c>
      <c r="O690" s="469" t="s">
        <v>26</v>
      </c>
      <c r="P690" s="465" t="s">
        <v>24</v>
      </c>
      <c r="Q690" s="467" t="s">
        <v>25</v>
      </c>
      <c r="R690" s="469" t="s">
        <v>26</v>
      </c>
      <c r="S690" s="465" t="s">
        <v>24</v>
      </c>
      <c r="T690" s="467" t="s">
        <v>25</v>
      </c>
      <c r="U690" s="469" t="s">
        <v>26</v>
      </c>
      <c r="V690" s="465" t="s">
        <v>24</v>
      </c>
      <c r="W690" s="467" t="s">
        <v>25</v>
      </c>
      <c r="X690" s="469" t="s">
        <v>26</v>
      </c>
      <c r="Y690" s="465" t="s">
        <v>24</v>
      </c>
      <c r="Z690" s="467" t="s">
        <v>25</v>
      </c>
      <c r="AA690" s="469" t="s">
        <v>26</v>
      </c>
      <c r="AB690" s="465" t="s">
        <v>24</v>
      </c>
      <c r="AC690" s="467" t="s">
        <v>25</v>
      </c>
      <c r="AD690" s="469" t="s">
        <v>26</v>
      </c>
      <c r="AE690" s="465" t="s">
        <v>24</v>
      </c>
      <c r="AF690" s="467" t="s">
        <v>25</v>
      </c>
      <c r="AG690" s="469" t="s">
        <v>26</v>
      </c>
      <c r="AH690" s="465" t="s">
        <v>24</v>
      </c>
      <c r="AI690" s="467" t="s">
        <v>25</v>
      </c>
      <c r="AJ690" s="469" t="s">
        <v>26</v>
      </c>
      <c r="AK690" s="465" t="s">
        <v>24</v>
      </c>
      <c r="AL690" s="467" t="s">
        <v>25</v>
      </c>
      <c r="AM690" s="469" t="s">
        <v>26</v>
      </c>
      <c r="AN690" s="465" t="s">
        <v>24</v>
      </c>
      <c r="AO690" s="467" t="s">
        <v>25</v>
      </c>
      <c r="AP690" s="469" t="s">
        <v>26</v>
      </c>
      <c r="AQ690" s="465" t="s">
        <v>24</v>
      </c>
      <c r="AR690" s="467" t="s">
        <v>25</v>
      </c>
      <c r="AS690" s="469" t="s">
        <v>26</v>
      </c>
      <c r="AT690" s="515" t="s">
        <v>24</v>
      </c>
      <c r="AU690" s="513" t="s">
        <v>27</v>
      </c>
    </row>
    <row r="691" spans="1:47">
      <c r="A691" s="468"/>
      <c r="B691" s="491"/>
      <c r="C691" s="491"/>
      <c r="D691" s="491"/>
      <c r="E691" s="491"/>
      <c r="F691" s="493"/>
      <c r="G691" s="466"/>
      <c r="H691" s="468"/>
      <c r="I691" s="470"/>
      <c r="J691" s="466"/>
      <c r="K691" s="468"/>
      <c r="L691" s="470"/>
      <c r="M691" s="466"/>
      <c r="N691" s="468"/>
      <c r="O691" s="470"/>
      <c r="P691" s="466"/>
      <c r="Q691" s="468"/>
      <c r="R691" s="470"/>
      <c r="S691" s="466"/>
      <c r="T691" s="468"/>
      <c r="U691" s="470"/>
      <c r="V691" s="466"/>
      <c r="W691" s="468"/>
      <c r="X691" s="470"/>
      <c r="Y691" s="466"/>
      <c r="Z691" s="468"/>
      <c r="AA691" s="470"/>
      <c r="AB691" s="466"/>
      <c r="AC691" s="468"/>
      <c r="AD691" s="470"/>
      <c r="AE691" s="466"/>
      <c r="AF691" s="468"/>
      <c r="AG691" s="470"/>
      <c r="AH691" s="466"/>
      <c r="AI691" s="468"/>
      <c r="AJ691" s="470"/>
      <c r="AK691" s="466"/>
      <c r="AL691" s="468"/>
      <c r="AM691" s="470"/>
      <c r="AN691" s="466"/>
      <c r="AO691" s="468"/>
      <c r="AP691" s="470"/>
      <c r="AQ691" s="466"/>
      <c r="AR691" s="468"/>
      <c r="AS691" s="470"/>
      <c r="AT691" s="516"/>
      <c r="AU691" s="514"/>
    </row>
    <row r="692" spans="1:47" ht="15" customHeight="1">
      <c r="A692" s="517" t="s">
        <v>208</v>
      </c>
      <c r="B692" s="476" t="s">
        <v>428</v>
      </c>
      <c r="C692" s="479">
        <v>3111</v>
      </c>
      <c r="D692" s="482"/>
      <c r="E692" s="520"/>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518"/>
      <c r="B693" s="477"/>
      <c r="C693" s="480"/>
      <c r="D693" s="483"/>
      <c r="E693" s="521"/>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518"/>
      <c r="B694" s="477"/>
      <c r="C694" s="480"/>
      <c r="D694" s="483"/>
      <c r="E694" s="521"/>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518"/>
      <c r="B695" s="477"/>
      <c r="C695" s="480"/>
      <c r="D695" s="483"/>
      <c r="E695" s="521"/>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518"/>
      <c r="B696" s="477"/>
      <c r="C696" s="480"/>
      <c r="D696" s="483"/>
      <c r="E696" s="521"/>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518"/>
      <c r="B697" s="477"/>
      <c r="C697" s="480"/>
      <c r="D697" s="483"/>
      <c r="E697" s="521"/>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518"/>
      <c r="B698" s="477"/>
      <c r="C698" s="480"/>
      <c r="D698" s="483"/>
      <c r="E698" s="521"/>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518"/>
      <c r="B699" s="477"/>
      <c r="C699" s="480"/>
      <c r="D699" s="483"/>
      <c r="E699" s="521"/>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519"/>
      <c r="B700" s="478"/>
      <c r="C700" s="481"/>
      <c r="D700" s="484"/>
      <c r="E700" s="522"/>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467" t="s">
        <v>22</v>
      </c>
      <c r="B701" s="490" t="s">
        <v>18</v>
      </c>
      <c r="C701" s="490" t="s">
        <v>19</v>
      </c>
      <c r="D701" s="490" t="s">
        <v>203</v>
      </c>
      <c r="E701" s="490" t="s">
        <v>21</v>
      </c>
      <c r="F701" s="492" t="s">
        <v>23</v>
      </c>
      <c r="G701" s="465" t="s">
        <v>24</v>
      </c>
      <c r="H701" s="467" t="s">
        <v>25</v>
      </c>
      <c r="I701" s="469" t="s">
        <v>26</v>
      </c>
      <c r="J701" s="465" t="s">
        <v>24</v>
      </c>
      <c r="K701" s="467" t="s">
        <v>25</v>
      </c>
      <c r="L701" s="469" t="s">
        <v>26</v>
      </c>
      <c r="M701" s="465" t="s">
        <v>24</v>
      </c>
      <c r="N701" s="467" t="s">
        <v>25</v>
      </c>
      <c r="O701" s="469" t="s">
        <v>26</v>
      </c>
      <c r="P701" s="465" t="s">
        <v>24</v>
      </c>
      <c r="Q701" s="467" t="s">
        <v>25</v>
      </c>
      <c r="R701" s="469" t="s">
        <v>26</v>
      </c>
      <c r="S701" s="465" t="s">
        <v>24</v>
      </c>
      <c r="T701" s="467" t="s">
        <v>25</v>
      </c>
      <c r="U701" s="469" t="s">
        <v>26</v>
      </c>
      <c r="V701" s="465" t="s">
        <v>24</v>
      </c>
      <c r="W701" s="467" t="s">
        <v>25</v>
      </c>
      <c r="X701" s="469" t="s">
        <v>26</v>
      </c>
      <c r="Y701" s="465" t="s">
        <v>24</v>
      </c>
      <c r="Z701" s="467" t="s">
        <v>25</v>
      </c>
      <c r="AA701" s="469" t="s">
        <v>26</v>
      </c>
      <c r="AB701" s="465" t="s">
        <v>24</v>
      </c>
      <c r="AC701" s="467" t="s">
        <v>25</v>
      </c>
      <c r="AD701" s="469" t="s">
        <v>26</v>
      </c>
      <c r="AE701" s="465" t="s">
        <v>24</v>
      </c>
      <c r="AF701" s="467" t="s">
        <v>25</v>
      </c>
      <c r="AG701" s="469" t="s">
        <v>26</v>
      </c>
      <c r="AH701" s="465" t="s">
        <v>24</v>
      </c>
      <c r="AI701" s="467" t="s">
        <v>25</v>
      </c>
      <c r="AJ701" s="469" t="s">
        <v>26</v>
      </c>
      <c r="AK701" s="465" t="s">
        <v>24</v>
      </c>
      <c r="AL701" s="467" t="s">
        <v>25</v>
      </c>
      <c r="AM701" s="469" t="s">
        <v>26</v>
      </c>
      <c r="AN701" s="465" t="s">
        <v>24</v>
      </c>
      <c r="AO701" s="467" t="s">
        <v>25</v>
      </c>
      <c r="AP701" s="469" t="s">
        <v>26</v>
      </c>
      <c r="AQ701" s="465" t="s">
        <v>24</v>
      </c>
      <c r="AR701" s="467" t="s">
        <v>25</v>
      </c>
      <c r="AS701" s="469" t="s">
        <v>26</v>
      </c>
      <c r="AT701" s="515" t="s">
        <v>24</v>
      </c>
      <c r="AU701" s="513" t="s">
        <v>27</v>
      </c>
    </row>
    <row r="702" spans="1:47">
      <c r="A702" s="468"/>
      <c r="B702" s="491"/>
      <c r="C702" s="491"/>
      <c r="D702" s="491"/>
      <c r="E702" s="491"/>
      <c r="F702" s="493"/>
      <c r="G702" s="466"/>
      <c r="H702" s="468"/>
      <c r="I702" s="470"/>
      <c r="J702" s="466"/>
      <c r="K702" s="468"/>
      <c r="L702" s="470"/>
      <c r="M702" s="466"/>
      <c r="N702" s="468"/>
      <c r="O702" s="470"/>
      <c r="P702" s="466"/>
      <c r="Q702" s="468"/>
      <c r="R702" s="470"/>
      <c r="S702" s="466"/>
      <c r="T702" s="468"/>
      <c r="U702" s="470"/>
      <c r="V702" s="466"/>
      <c r="W702" s="468"/>
      <c r="X702" s="470"/>
      <c r="Y702" s="466"/>
      <c r="Z702" s="468"/>
      <c r="AA702" s="470"/>
      <c r="AB702" s="466"/>
      <c r="AC702" s="468"/>
      <c r="AD702" s="470"/>
      <c r="AE702" s="466"/>
      <c r="AF702" s="468"/>
      <c r="AG702" s="470"/>
      <c r="AH702" s="466"/>
      <c r="AI702" s="468"/>
      <c r="AJ702" s="470"/>
      <c r="AK702" s="466"/>
      <c r="AL702" s="468"/>
      <c r="AM702" s="470"/>
      <c r="AN702" s="466"/>
      <c r="AO702" s="468"/>
      <c r="AP702" s="470"/>
      <c r="AQ702" s="466"/>
      <c r="AR702" s="468"/>
      <c r="AS702" s="470"/>
      <c r="AT702" s="516"/>
      <c r="AU702" s="514"/>
    </row>
    <row r="703" spans="1:47" ht="15" customHeight="1">
      <c r="A703" s="517" t="s">
        <v>204</v>
      </c>
      <c r="B703" s="476" t="s">
        <v>429</v>
      </c>
      <c r="C703" s="479">
        <v>381</v>
      </c>
      <c r="D703" s="482" t="s">
        <v>430</v>
      </c>
      <c r="E703" s="520"/>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518"/>
      <c r="B704" s="477"/>
      <c r="C704" s="480"/>
      <c r="D704" s="483"/>
      <c r="E704" s="521"/>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518"/>
      <c r="B705" s="477"/>
      <c r="C705" s="480"/>
      <c r="D705" s="483"/>
      <c r="E705" s="521"/>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518"/>
      <c r="B706" s="477"/>
      <c r="C706" s="480"/>
      <c r="D706" s="483"/>
      <c r="E706" s="521"/>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518"/>
      <c r="B707" s="477"/>
      <c r="C707" s="480"/>
      <c r="D707" s="483"/>
      <c r="E707" s="521"/>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518"/>
      <c r="B708" s="477"/>
      <c r="C708" s="480"/>
      <c r="D708" s="483"/>
      <c r="E708" s="521"/>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518"/>
      <c r="B709" s="477"/>
      <c r="C709" s="480"/>
      <c r="D709" s="483"/>
      <c r="E709" s="521"/>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518"/>
      <c r="B710" s="477"/>
      <c r="C710" s="480"/>
      <c r="D710" s="483"/>
      <c r="E710" s="521"/>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519"/>
      <c r="B711" s="478"/>
      <c r="C711" s="481"/>
      <c r="D711" s="484"/>
      <c r="E711" s="522"/>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467" t="s">
        <v>22</v>
      </c>
      <c r="B712" s="490" t="s">
        <v>18</v>
      </c>
      <c r="C712" s="490" t="s">
        <v>19</v>
      </c>
      <c r="D712" s="490" t="s">
        <v>203</v>
      </c>
      <c r="E712" s="490" t="s">
        <v>21</v>
      </c>
      <c r="F712" s="492" t="s">
        <v>23</v>
      </c>
      <c r="G712" s="465" t="s">
        <v>24</v>
      </c>
      <c r="H712" s="467" t="s">
        <v>25</v>
      </c>
      <c r="I712" s="469" t="s">
        <v>26</v>
      </c>
      <c r="J712" s="465" t="s">
        <v>24</v>
      </c>
      <c r="K712" s="467" t="s">
        <v>25</v>
      </c>
      <c r="L712" s="469" t="s">
        <v>26</v>
      </c>
      <c r="M712" s="465" t="s">
        <v>24</v>
      </c>
      <c r="N712" s="467" t="s">
        <v>25</v>
      </c>
      <c r="O712" s="469" t="s">
        <v>26</v>
      </c>
      <c r="P712" s="465" t="s">
        <v>24</v>
      </c>
      <c r="Q712" s="467" t="s">
        <v>25</v>
      </c>
      <c r="R712" s="469" t="s">
        <v>26</v>
      </c>
      <c r="S712" s="465" t="s">
        <v>24</v>
      </c>
      <c r="T712" s="467" t="s">
        <v>25</v>
      </c>
      <c r="U712" s="469" t="s">
        <v>26</v>
      </c>
      <c r="V712" s="465" t="s">
        <v>24</v>
      </c>
      <c r="W712" s="467" t="s">
        <v>25</v>
      </c>
      <c r="X712" s="469" t="s">
        <v>26</v>
      </c>
      <c r="Y712" s="465" t="s">
        <v>24</v>
      </c>
      <c r="Z712" s="467" t="s">
        <v>25</v>
      </c>
      <c r="AA712" s="469" t="s">
        <v>26</v>
      </c>
      <c r="AB712" s="465" t="s">
        <v>24</v>
      </c>
      <c r="AC712" s="467" t="s">
        <v>25</v>
      </c>
      <c r="AD712" s="469" t="s">
        <v>26</v>
      </c>
      <c r="AE712" s="465" t="s">
        <v>24</v>
      </c>
      <c r="AF712" s="467" t="s">
        <v>25</v>
      </c>
      <c r="AG712" s="469" t="s">
        <v>26</v>
      </c>
      <c r="AH712" s="465" t="s">
        <v>24</v>
      </c>
      <c r="AI712" s="467" t="s">
        <v>25</v>
      </c>
      <c r="AJ712" s="469" t="s">
        <v>26</v>
      </c>
      <c r="AK712" s="465" t="s">
        <v>24</v>
      </c>
      <c r="AL712" s="467" t="s">
        <v>25</v>
      </c>
      <c r="AM712" s="469" t="s">
        <v>26</v>
      </c>
      <c r="AN712" s="465" t="s">
        <v>24</v>
      </c>
      <c r="AO712" s="467" t="s">
        <v>25</v>
      </c>
      <c r="AP712" s="469" t="s">
        <v>26</v>
      </c>
      <c r="AQ712" s="465" t="s">
        <v>24</v>
      </c>
      <c r="AR712" s="467" t="s">
        <v>25</v>
      </c>
      <c r="AS712" s="469" t="s">
        <v>26</v>
      </c>
      <c r="AT712" s="515" t="s">
        <v>24</v>
      </c>
      <c r="AU712" s="513" t="s">
        <v>27</v>
      </c>
    </row>
    <row r="713" spans="1:47">
      <c r="A713" s="468"/>
      <c r="B713" s="491"/>
      <c r="C713" s="491"/>
      <c r="D713" s="491"/>
      <c r="E713" s="491"/>
      <c r="F713" s="493"/>
      <c r="G713" s="466"/>
      <c r="H713" s="468"/>
      <c r="I713" s="470"/>
      <c r="J713" s="466"/>
      <c r="K713" s="468"/>
      <c r="L713" s="470"/>
      <c r="M713" s="466"/>
      <c r="N713" s="468"/>
      <c r="O713" s="470"/>
      <c r="P713" s="466"/>
      <c r="Q713" s="468"/>
      <c r="R713" s="470"/>
      <c r="S713" s="466"/>
      <c r="T713" s="468"/>
      <c r="U713" s="470"/>
      <c r="V713" s="466"/>
      <c r="W713" s="468"/>
      <c r="X713" s="470"/>
      <c r="Y713" s="466"/>
      <c r="Z713" s="468"/>
      <c r="AA713" s="470"/>
      <c r="AB713" s="466"/>
      <c r="AC713" s="468"/>
      <c r="AD713" s="470"/>
      <c r="AE713" s="466"/>
      <c r="AF713" s="468"/>
      <c r="AG713" s="470"/>
      <c r="AH713" s="466"/>
      <c r="AI713" s="468"/>
      <c r="AJ713" s="470"/>
      <c r="AK713" s="466"/>
      <c r="AL713" s="468"/>
      <c r="AM713" s="470"/>
      <c r="AN713" s="466"/>
      <c r="AO713" s="468"/>
      <c r="AP713" s="470"/>
      <c r="AQ713" s="466"/>
      <c r="AR713" s="468"/>
      <c r="AS713" s="470"/>
      <c r="AT713" s="516"/>
      <c r="AU713" s="514"/>
    </row>
    <row r="714" spans="1:47" ht="15" customHeight="1">
      <c r="A714" s="517" t="s">
        <v>208</v>
      </c>
      <c r="B714" s="476" t="s">
        <v>431</v>
      </c>
      <c r="C714" s="479">
        <v>3113</v>
      </c>
      <c r="D714" s="482"/>
      <c r="E714" s="520"/>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2">
        <f>AB714-AD714</f>
        <v>0</v>
      </c>
      <c r="AD714" s="10"/>
      <c r="AE714" s="13"/>
      <c r="AF714" s="9">
        <f t="shared" ref="AF714:AF722" si="835">AE714-AG714</f>
        <v>0</v>
      </c>
      <c r="AG714" s="10"/>
      <c r="AH714" s="177">
        <v>264000</v>
      </c>
      <c r="AI714" s="461">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518"/>
      <c r="B715" s="477"/>
      <c r="C715" s="480"/>
      <c r="D715" s="483"/>
      <c r="E715" s="521"/>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518"/>
      <c r="B716" s="477"/>
      <c r="C716" s="480"/>
      <c r="D716" s="483"/>
      <c r="E716" s="521"/>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518"/>
      <c r="B717" s="477"/>
      <c r="C717" s="480"/>
      <c r="D717" s="483"/>
      <c r="E717" s="521"/>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518"/>
      <c r="B718" s="477"/>
      <c r="C718" s="480"/>
      <c r="D718" s="483"/>
      <c r="E718" s="521"/>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518"/>
      <c r="B719" s="477"/>
      <c r="C719" s="480"/>
      <c r="D719" s="483"/>
      <c r="E719" s="521"/>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518"/>
      <c r="B720" s="477"/>
      <c r="C720" s="480"/>
      <c r="D720" s="483"/>
      <c r="E720" s="521"/>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518"/>
      <c r="B721" s="477"/>
      <c r="C721" s="480"/>
      <c r="D721" s="483"/>
      <c r="E721" s="521"/>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519"/>
      <c r="B722" s="478"/>
      <c r="C722" s="481"/>
      <c r="D722" s="484"/>
      <c r="E722" s="522"/>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467" t="s">
        <v>22</v>
      </c>
      <c r="B723" s="490" t="s">
        <v>18</v>
      </c>
      <c r="C723" s="490" t="s">
        <v>19</v>
      </c>
      <c r="D723" s="490" t="s">
        <v>203</v>
      </c>
      <c r="E723" s="490" t="s">
        <v>21</v>
      </c>
      <c r="F723" s="492" t="s">
        <v>23</v>
      </c>
      <c r="G723" s="465" t="s">
        <v>24</v>
      </c>
      <c r="H723" s="467" t="s">
        <v>25</v>
      </c>
      <c r="I723" s="469" t="s">
        <v>26</v>
      </c>
      <c r="J723" s="465" t="s">
        <v>24</v>
      </c>
      <c r="K723" s="467" t="s">
        <v>25</v>
      </c>
      <c r="L723" s="469" t="s">
        <v>26</v>
      </c>
      <c r="M723" s="465" t="s">
        <v>24</v>
      </c>
      <c r="N723" s="467" t="s">
        <v>25</v>
      </c>
      <c r="O723" s="469" t="s">
        <v>26</v>
      </c>
      <c r="P723" s="465" t="s">
        <v>24</v>
      </c>
      <c r="Q723" s="467" t="s">
        <v>25</v>
      </c>
      <c r="R723" s="469" t="s">
        <v>26</v>
      </c>
      <c r="S723" s="465" t="s">
        <v>24</v>
      </c>
      <c r="T723" s="467" t="s">
        <v>25</v>
      </c>
      <c r="U723" s="469" t="s">
        <v>26</v>
      </c>
      <c r="V723" s="465" t="s">
        <v>24</v>
      </c>
      <c r="W723" s="467" t="s">
        <v>25</v>
      </c>
      <c r="X723" s="469" t="s">
        <v>26</v>
      </c>
      <c r="Y723" s="465" t="s">
        <v>24</v>
      </c>
      <c r="Z723" s="467" t="s">
        <v>25</v>
      </c>
      <c r="AA723" s="469" t="s">
        <v>26</v>
      </c>
      <c r="AB723" s="465" t="s">
        <v>24</v>
      </c>
      <c r="AC723" s="467" t="s">
        <v>25</v>
      </c>
      <c r="AD723" s="469" t="s">
        <v>26</v>
      </c>
      <c r="AE723" s="465" t="s">
        <v>24</v>
      </c>
      <c r="AF723" s="467" t="s">
        <v>25</v>
      </c>
      <c r="AG723" s="469" t="s">
        <v>26</v>
      </c>
      <c r="AH723" s="465" t="s">
        <v>24</v>
      </c>
      <c r="AI723" s="467" t="s">
        <v>25</v>
      </c>
      <c r="AJ723" s="469" t="s">
        <v>26</v>
      </c>
      <c r="AK723" s="465" t="s">
        <v>24</v>
      </c>
      <c r="AL723" s="467" t="s">
        <v>25</v>
      </c>
      <c r="AM723" s="469" t="s">
        <v>26</v>
      </c>
      <c r="AN723" s="465" t="s">
        <v>24</v>
      </c>
      <c r="AO723" s="467" t="s">
        <v>25</v>
      </c>
      <c r="AP723" s="469" t="s">
        <v>26</v>
      </c>
      <c r="AQ723" s="465" t="s">
        <v>24</v>
      </c>
      <c r="AR723" s="467" t="s">
        <v>25</v>
      </c>
      <c r="AS723" s="469" t="s">
        <v>26</v>
      </c>
      <c r="AT723" s="515" t="s">
        <v>24</v>
      </c>
      <c r="AU723" s="513" t="s">
        <v>27</v>
      </c>
    </row>
    <row r="724" spans="1:47">
      <c r="A724" s="468"/>
      <c r="B724" s="491"/>
      <c r="C724" s="491"/>
      <c r="D724" s="491"/>
      <c r="E724" s="491"/>
      <c r="F724" s="493"/>
      <c r="G724" s="466"/>
      <c r="H724" s="468"/>
      <c r="I724" s="470"/>
      <c r="J724" s="466"/>
      <c r="K724" s="468"/>
      <c r="L724" s="470"/>
      <c r="M724" s="466"/>
      <c r="N724" s="468"/>
      <c r="O724" s="470"/>
      <c r="P724" s="466"/>
      <c r="Q724" s="468"/>
      <c r="R724" s="470"/>
      <c r="S724" s="466"/>
      <c r="T724" s="468"/>
      <c r="U724" s="470"/>
      <c r="V724" s="466"/>
      <c r="W724" s="468"/>
      <c r="X724" s="470"/>
      <c r="Y724" s="466"/>
      <c r="Z724" s="468"/>
      <c r="AA724" s="470"/>
      <c r="AB724" s="466"/>
      <c r="AC724" s="468"/>
      <c r="AD724" s="470"/>
      <c r="AE724" s="466"/>
      <c r="AF724" s="468"/>
      <c r="AG724" s="470"/>
      <c r="AH724" s="466"/>
      <c r="AI724" s="468"/>
      <c r="AJ724" s="470"/>
      <c r="AK724" s="466"/>
      <c r="AL724" s="468"/>
      <c r="AM724" s="470"/>
      <c r="AN724" s="466"/>
      <c r="AO724" s="468"/>
      <c r="AP724" s="470"/>
      <c r="AQ724" s="466"/>
      <c r="AR724" s="468"/>
      <c r="AS724" s="470"/>
      <c r="AT724" s="516"/>
      <c r="AU724" s="514"/>
    </row>
    <row r="725" spans="1:47" ht="15" customHeight="1">
      <c r="A725" s="517" t="s">
        <v>208</v>
      </c>
      <c r="B725" s="476" t="s">
        <v>432</v>
      </c>
      <c r="C725" s="479">
        <v>3110</v>
      </c>
      <c r="D725" s="482"/>
      <c r="E725" s="520"/>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518"/>
      <c r="B726" s="477"/>
      <c r="C726" s="480"/>
      <c r="D726" s="483"/>
      <c r="E726" s="521"/>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518"/>
      <c r="B727" s="477"/>
      <c r="C727" s="480"/>
      <c r="D727" s="483"/>
      <c r="E727" s="521"/>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177"/>
      <c r="AF727" s="166">
        <f t="shared" si="850"/>
        <v>0</v>
      </c>
      <c r="AG727" s="167"/>
      <c r="AH727" s="177"/>
      <c r="AI727" s="166">
        <f t="shared" si="851"/>
        <v>0</v>
      </c>
      <c r="AJ727" s="167"/>
      <c r="AK727" s="13"/>
      <c r="AL727" s="11">
        <f t="shared" si="852"/>
        <v>0</v>
      </c>
      <c r="AM727" s="12"/>
      <c r="AN727" s="13"/>
      <c r="AO727" s="11">
        <f t="shared" si="853"/>
        <v>0</v>
      </c>
      <c r="AP727" s="12"/>
      <c r="AQ727" s="13"/>
      <c r="AR727" s="11">
        <f t="shared" si="854"/>
        <v>0</v>
      </c>
      <c r="AS727" s="12"/>
      <c r="AT727" s="3"/>
      <c r="AU727" s="7" t="s">
        <v>35</v>
      </c>
    </row>
    <row r="728" spans="1:47">
      <c r="A728" s="518"/>
      <c r="B728" s="477"/>
      <c r="C728" s="480"/>
      <c r="D728" s="483"/>
      <c r="E728" s="521"/>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77"/>
      <c r="AF728" s="166">
        <f t="shared" si="850"/>
        <v>0</v>
      </c>
      <c r="AG728" s="167"/>
      <c r="AH728" s="177"/>
      <c r="AI728" s="166">
        <f t="shared" si="851"/>
        <v>0</v>
      </c>
      <c r="AJ728" s="167"/>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518"/>
      <c r="B729" s="477"/>
      <c r="C729" s="480"/>
      <c r="D729" s="483"/>
      <c r="E729" s="521"/>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77"/>
      <c r="AF729" s="166">
        <f t="shared" si="850"/>
        <v>0</v>
      </c>
      <c r="AG729" s="167"/>
      <c r="AH729" s="177"/>
      <c r="AI729" s="166">
        <f t="shared" si="851"/>
        <v>0</v>
      </c>
      <c r="AJ729" s="167"/>
      <c r="AK729" s="13"/>
      <c r="AL729" s="11">
        <f t="shared" si="852"/>
        <v>0</v>
      </c>
      <c r="AM729" s="12"/>
      <c r="AN729" s="13"/>
      <c r="AO729" s="11">
        <f t="shared" si="853"/>
        <v>0</v>
      </c>
      <c r="AP729" s="12"/>
      <c r="AQ729" s="13"/>
      <c r="AR729" s="11">
        <f t="shared" si="854"/>
        <v>0</v>
      </c>
      <c r="AS729" s="12"/>
      <c r="AT729" s="3"/>
      <c r="AU729" s="7" t="s">
        <v>38</v>
      </c>
    </row>
    <row r="730" spans="1:47">
      <c r="A730" s="518"/>
      <c r="B730" s="477"/>
      <c r="C730" s="480"/>
      <c r="D730" s="483"/>
      <c r="E730" s="521"/>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77"/>
      <c r="AF730" s="166">
        <f t="shared" si="850"/>
        <v>0</v>
      </c>
      <c r="AG730" s="167"/>
      <c r="AH730" s="177"/>
      <c r="AI730" s="166">
        <f t="shared" si="851"/>
        <v>0</v>
      </c>
      <c r="AJ730" s="167"/>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518"/>
      <c r="B731" s="477"/>
      <c r="C731" s="480"/>
      <c r="D731" s="483"/>
      <c r="E731" s="521"/>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77"/>
      <c r="AF731" s="166">
        <f t="shared" si="850"/>
        <v>0</v>
      </c>
      <c r="AG731" s="167"/>
      <c r="AH731" s="177"/>
      <c r="AI731" s="166">
        <f t="shared" si="851"/>
        <v>0</v>
      </c>
      <c r="AJ731" s="167"/>
      <c r="AK731" s="13"/>
      <c r="AL731" s="11">
        <f t="shared" si="852"/>
        <v>0</v>
      </c>
      <c r="AM731" s="12"/>
      <c r="AN731" s="13"/>
      <c r="AO731" s="11">
        <f t="shared" si="853"/>
        <v>0</v>
      </c>
      <c r="AP731" s="12"/>
      <c r="AQ731" s="13"/>
      <c r="AR731" s="11">
        <f t="shared" si="854"/>
        <v>0</v>
      </c>
      <c r="AS731" s="12"/>
      <c r="AT731" s="3"/>
      <c r="AU731" s="7" t="s">
        <v>42</v>
      </c>
    </row>
    <row r="732" spans="1:47">
      <c r="A732" s="518"/>
      <c r="B732" s="477"/>
      <c r="C732" s="480"/>
      <c r="D732" s="483"/>
      <c r="E732" s="521"/>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519"/>
      <c r="B733" s="478"/>
      <c r="C733" s="481"/>
      <c r="D733" s="484"/>
      <c r="E733" s="522"/>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467" t="s">
        <v>22</v>
      </c>
      <c r="B734" s="490" t="s">
        <v>18</v>
      </c>
      <c r="C734" s="490" t="s">
        <v>19</v>
      </c>
      <c r="D734" s="490" t="s">
        <v>203</v>
      </c>
      <c r="E734" s="490" t="s">
        <v>21</v>
      </c>
      <c r="F734" s="492" t="s">
        <v>23</v>
      </c>
      <c r="G734" s="465" t="s">
        <v>24</v>
      </c>
      <c r="H734" s="467" t="s">
        <v>25</v>
      </c>
      <c r="I734" s="469" t="s">
        <v>26</v>
      </c>
      <c r="J734" s="465" t="s">
        <v>24</v>
      </c>
      <c r="K734" s="467" t="s">
        <v>25</v>
      </c>
      <c r="L734" s="469" t="s">
        <v>26</v>
      </c>
      <c r="M734" s="465" t="s">
        <v>24</v>
      </c>
      <c r="N734" s="467" t="s">
        <v>25</v>
      </c>
      <c r="O734" s="469" t="s">
        <v>26</v>
      </c>
      <c r="P734" s="465" t="s">
        <v>24</v>
      </c>
      <c r="Q734" s="467" t="s">
        <v>25</v>
      </c>
      <c r="R734" s="469" t="s">
        <v>26</v>
      </c>
      <c r="S734" s="465" t="s">
        <v>24</v>
      </c>
      <c r="T734" s="467" t="s">
        <v>25</v>
      </c>
      <c r="U734" s="469" t="s">
        <v>26</v>
      </c>
      <c r="V734" s="465" t="s">
        <v>24</v>
      </c>
      <c r="W734" s="467" t="s">
        <v>25</v>
      </c>
      <c r="X734" s="469" t="s">
        <v>26</v>
      </c>
      <c r="Y734" s="465" t="s">
        <v>24</v>
      </c>
      <c r="Z734" s="467" t="s">
        <v>25</v>
      </c>
      <c r="AA734" s="469" t="s">
        <v>26</v>
      </c>
      <c r="AB734" s="465" t="s">
        <v>24</v>
      </c>
      <c r="AC734" s="467" t="s">
        <v>25</v>
      </c>
      <c r="AD734" s="469" t="s">
        <v>26</v>
      </c>
      <c r="AE734" s="465" t="s">
        <v>24</v>
      </c>
      <c r="AF734" s="467" t="s">
        <v>25</v>
      </c>
      <c r="AG734" s="469" t="s">
        <v>26</v>
      </c>
      <c r="AH734" s="465" t="s">
        <v>24</v>
      </c>
      <c r="AI734" s="467" t="s">
        <v>25</v>
      </c>
      <c r="AJ734" s="469" t="s">
        <v>26</v>
      </c>
      <c r="AK734" s="465" t="s">
        <v>24</v>
      </c>
      <c r="AL734" s="467" t="s">
        <v>25</v>
      </c>
      <c r="AM734" s="469" t="s">
        <v>26</v>
      </c>
      <c r="AN734" s="465" t="s">
        <v>24</v>
      </c>
      <c r="AO734" s="467" t="s">
        <v>25</v>
      </c>
      <c r="AP734" s="469" t="s">
        <v>26</v>
      </c>
      <c r="AQ734" s="465" t="s">
        <v>24</v>
      </c>
      <c r="AR734" s="467" t="s">
        <v>25</v>
      </c>
      <c r="AS734" s="469" t="s">
        <v>26</v>
      </c>
      <c r="AT734" s="515" t="s">
        <v>24</v>
      </c>
      <c r="AU734" s="513" t="s">
        <v>27</v>
      </c>
    </row>
    <row r="735" spans="1:47">
      <c r="A735" s="468"/>
      <c r="B735" s="491"/>
      <c r="C735" s="491"/>
      <c r="D735" s="491"/>
      <c r="E735" s="491"/>
      <c r="F735" s="493"/>
      <c r="G735" s="466"/>
      <c r="H735" s="468"/>
      <c r="I735" s="470"/>
      <c r="J735" s="466"/>
      <c r="K735" s="468"/>
      <c r="L735" s="470"/>
      <c r="M735" s="466"/>
      <c r="N735" s="468"/>
      <c r="O735" s="470"/>
      <c r="P735" s="466"/>
      <c r="Q735" s="468"/>
      <c r="R735" s="470"/>
      <c r="S735" s="466"/>
      <c r="T735" s="468"/>
      <c r="U735" s="470"/>
      <c r="V735" s="466"/>
      <c r="W735" s="468"/>
      <c r="X735" s="470"/>
      <c r="Y735" s="466"/>
      <c r="Z735" s="468"/>
      <c r="AA735" s="470"/>
      <c r="AB735" s="466"/>
      <c r="AC735" s="468"/>
      <c r="AD735" s="470"/>
      <c r="AE735" s="466"/>
      <c r="AF735" s="468"/>
      <c r="AG735" s="470"/>
      <c r="AH735" s="466"/>
      <c r="AI735" s="468"/>
      <c r="AJ735" s="470"/>
      <c r="AK735" s="466"/>
      <c r="AL735" s="468"/>
      <c r="AM735" s="470"/>
      <c r="AN735" s="466"/>
      <c r="AO735" s="468"/>
      <c r="AP735" s="470"/>
      <c r="AQ735" s="466"/>
      <c r="AR735" s="468"/>
      <c r="AS735" s="470"/>
      <c r="AT735" s="516"/>
      <c r="AU735" s="514"/>
    </row>
    <row r="736" spans="1:47" ht="15" customHeight="1">
      <c r="A736" s="517" t="s">
        <v>204</v>
      </c>
      <c r="B736" s="476" t="s">
        <v>433</v>
      </c>
      <c r="C736" s="479">
        <v>3127</v>
      </c>
      <c r="D736" s="482"/>
      <c r="E736" s="520"/>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518"/>
      <c r="B737" s="477"/>
      <c r="C737" s="480"/>
      <c r="D737" s="483"/>
      <c r="E737" s="521"/>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518"/>
      <c r="B738" s="477"/>
      <c r="C738" s="480"/>
      <c r="D738" s="483"/>
      <c r="E738" s="521"/>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518"/>
      <c r="B739" s="477"/>
      <c r="C739" s="480"/>
      <c r="D739" s="483"/>
      <c r="E739" s="521"/>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518"/>
      <c r="B740" s="477"/>
      <c r="C740" s="480"/>
      <c r="D740" s="483"/>
      <c r="E740" s="521"/>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518"/>
      <c r="B741" s="477"/>
      <c r="C741" s="480"/>
      <c r="D741" s="483"/>
      <c r="E741" s="521"/>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518"/>
      <c r="B742" s="477"/>
      <c r="C742" s="480"/>
      <c r="D742" s="483"/>
      <c r="E742" s="521"/>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518"/>
      <c r="B743" s="477"/>
      <c r="C743" s="480"/>
      <c r="D743" s="483"/>
      <c r="E743" s="521"/>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519"/>
      <c r="B744" s="478"/>
      <c r="C744" s="481"/>
      <c r="D744" s="484"/>
      <c r="E744" s="522"/>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467" t="s">
        <v>22</v>
      </c>
      <c r="B745" s="490" t="s">
        <v>18</v>
      </c>
      <c r="C745" s="490" t="s">
        <v>19</v>
      </c>
      <c r="D745" s="490" t="s">
        <v>203</v>
      </c>
      <c r="E745" s="490" t="s">
        <v>21</v>
      </c>
      <c r="F745" s="492" t="s">
        <v>23</v>
      </c>
      <c r="G745" s="465" t="s">
        <v>24</v>
      </c>
      <c r="H745" s="467" t="s">
        <v>25</v>
      </c>
      <c r="I745" s="469" t="s">
        <v>26</v>
      </c>
      <c r="J745" s="465" t="s">
        <v>24</v>
      </c>
      <c r="K745" s="467" t="s">
        <v>25</v>
      </c>
      <c r="L745" s="469" t="s">
        <v>26</v>
      </c>
      <c r="M745" s="465" t="s">
        <v>24</v>
      </c>
      <c r="N745" s="467" t="s">
        <v>25</v>
      </c>
      <c r="O745" s="469" t="s">
        <v>26</v>
      </c>
      <c r="P745" s="465" t="s">
        <v>24</v>
      </c>
      <c r="Q745" s="467" t="s">
        <v>25</v>
      </c>
      <c r="R745" s="469" t="s">
        <v>26</v>
      </c>
      <c r="S745" s="465" t="s">
        <v>24</v>
      </c>
      <c r="T745" s="467" t="s">
        <v>25</v>
      </c>
      <c r="U745" s="469" t="s">
        <v>26</v>
      </c>
      <c r="V745" s="465" t="s">
        <v>24</v>
      </c>
      <c r="W745" s="467" t="s">
        <v>25</v>
      </c>
      <c r="X745" s="469" t="s">
        <v>26</v>
      </c>
      <c r="Y745" s="465" t="s">
        <v>24</v>
      </c>
      <c r="Z745" s="467" t="s">
        <v>25</v>
      </c>
      <c r="AA745" s="469" t="s">
        <v>26</v>
      </c>
      <c r="AB745" s="465" t="s">
        <v>24</v>
      </c>
      <c r="AC745" s="467" t="s">
        <v>25</v>
      </c>
      <c r="AD745" s="469" t="s">
        <v>26</v>
      </c>
      <c r="AE745" s="465" t="s">
        <v>24</v>
      </c>
      <c r="AF745" s="467" t="s">
        <v>25</v>
      </c>
      <c r="AG745" s="469" t="s">
        <v>26</v>
      </c>
      <c r="AH745" s="465" t="s">
        <v>24</v>
      </c>
      <c r="AI745" s="467" t="s">
        <v>25</v>
      </c>
      <c r="AJ745" s="469" t="s">
        <v>26</v>
      </c>
      <c r="AK745" s="465" t="s">
        <v>24</v>
      </c>
      <c r="AL745" s="467" t="s">
        <v>25</v>
      </c>
      <c r="AM745" s="469" t="s">
        <v>26</v>
      </c>
      <c r="AN745" s="465" t="s">
        <v>24</v>
      </c>
      <c r="AO745" s="467" t="s">
        <v>25</v>
      </c>
      <c r="AP745" s="469" t="s">
        <v>26</v>
      </c>
      <c r="AQ745" s="465" t="s">
        <v>24</v>
      </c>
      <c r="AR745" s="467" t="s">
        <v>25</v>
      </c>
      <c r="AS745" s="469" t="s">
        <v>26</v>
      </c>
      <c r="AT745" s="515" t="s">
        <v>24</v>
      </c>
      <c r="AU745" s="513" t="s">
        <v>27</v>
      </c>
    </row>
    <row r="746" spans="1:47">
      <c r="A746" s="468"/>
      <c r="B746" s="491"/>
      <c r="C746" s="491"/>
      <c r="D746" s="491"/>
      <c r="E746" s="491"/>
      <c r="F746" s="493"/>
      <c r="G746" s="466"/>
      <c r="H746" s="468"/>
      <c r="I746" s="470"/>
      <c r="J746" s="466"/>
      <c r="K746" s="468"/>
      <c r="L746" s="470"/>
      <c r="M746" s="466"/>
      <c r="N746" s="468"/>
      <c r="O746" s="470"/>
      <c r="P746" s="466"/>
      <c r="Q746" s="468"/>
      <c r="R746" s="470"/>
      <c r="S746" s="466"/>
      <c r="T746" s="468"/>
      <c r="U746" s="470"/>
      <c r="V746" s="466"/>
      <c r="W746" s="468"/>
      <c r="X746" s="470"/>
      <c r="Y746" s="466"/>
      <c r="Z746" s="468"/>
      <c r="AA746" s="470"/>
      <c r="AB746" s="466"/>
      <c r="AC746" s="468"/>
      <c r="AD746" s="470"/>
      <c r="AE746" s="466"/>
      <c r="AF746" s="468"/>
      <c r="AG746" s="470"/>
      <c r="AH746" s="466"/>
      <c r="AI746" s="468"/>
      <c r="AJ746" s="470"/>
      <c r="AK746" s="466"/>
      <c r="AL746" s="468"/>
      <c r="AM746" s="470"/>
      <c r="AN746" s="466"/>
      <c r="AO746" s="468"/>
      <c r="AP746" s="470"/>
      <c r="AQ746" s="466"/>
      <c r="AR746" s="468"/>
      <c r="AS746" s="470"/>
      <c r="AT746" s="516"/>
      <c r="AU746" s="514"/>
    </row>
    <row r="747" spans="1:47" ht="15" customHeight="1">
      <c r="A747" s="517" t="s">
        <v>204</v>
      </c>
      <c r="B747" s="476" t="s">
        <v>434</v>
      </c>
      <c r="C747" s="479">
        <v>2733</v>
      </c>
      <c r="D747" s="482" t="s">
        <v>435</v>
      </c>
      <c r="E747" s="520"/>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518"/>
      <c r="B748" s="477"/>
      <c r="C748" s="480"/>
      <c r="D748" s="483"/>
      <c r="E748" s="521"/>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518"/>
      <c r="B749" s="477"/>
      <c r="C749" s="480"/>
      <c r="D749" s="483"/>
      <c r="E749" s="521"/>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518"/>
      <c r="B750" s="477"/>
      <c r="C750" s="480"/>
      <c r="D750" s="483"/>
      <c r="E750" s="521"/>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518"/>
      <c r="B751" s="477"/>
      <c r="C751" s="480"/>
      <c r="D751" s="483"/>
      <c r="E751" s="521"/>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518"/>
      <c r="B752" s="477"/>
      <c r="C752" s="480"/>
      <c r="D752" s="483"/>
      <c r="E752" s="521"/>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518"/>
      <c r="B753" s="477"/>
      <c r="C753" s="480"/>
      <c r="D753" s="483"/>
      <c r="E753" s="521"/>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518"/>
      <c r="B754" s="477"/>
      <c r="C754" s="480"/>
      <c r="D754" s="483"/>
      <c r="E754" s="521"/>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519"/>
      <c r="B755" s="478"/>
      <c r="C755" s="481"/>
      <c r="D755" s="484"/>
      <c r="E755" s="522"/>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538" t="s">
        <v>22</v>
      </c>
      <c r="B756" s="524" t="s">
        <v>18</v>
      </c>
      <c r="C756" s="524" t="s">
        <v>19</v>
      </c>
      <c r="D756" s="524" t="s">
        <v>203</v>
      </c>
      <c r="E756" s="524" t="s">
        <v>21</v>
      </c>
      <c r="F756" s="542" t="s">
        <v>23</v>
      </c>
      <c r="G756" s="504" t="s">
        <v>24</v>
      </c>
      <c r="H756" s="494" t="s">
        <v>25</v>
      </c>
      <c r="I756" s="496" t="s">
        <v>26</v>
      </c>
      <c r="J756" s="504" t="s">
        <v>24</v>
      </c>
      <c r="K756" s="494" t="s">
        <v>25</v>
      </c>
      <c r="L756" s="496" t="s">
        <v>26</v>
      </c>
      <c r="M756" s="504" t="s">
        <v>24</v>
      </c>
      <c r="N756" s="494" t="s">
        <v>25</v>
      </c>
      <c r="O756" s="496" t="s">
        <v>26</v>
      </c>
      <c r="P756" s="504" t="s">
        <v>24</v>
      </c>
      <c r="Q756" s="494" t="s">
        <v>25</v>
      </c>
      <c r="R756" s="496" t="s">
        <v>26</v>
      </c>
      <c r="S756" s="504" t="s">
        <v>24</v>
      </c>
      <c r="T756" s="494" t="s">
        <v>25</v>
      </c>
      <c r="U756" s="496" t="s">
        <v>26</v>
      </c>
      <c r="V756" s="504" t="s">
        <v>24</v>
      </c>
      <c r="W756" s="494" t="s">
        <v>25</v>
      </c>
      <c r="X756" s="534" t="s">
        <v>26</v>
      </c>
      <c r="Y756" s="504" t="s">
        <v>24</v>
      </c>
      <c r="Z756" s="494" t="s">
        <v>25</v>
      </c>
      <c r="AA756" s="496" t="s">
        <v>26</v>
      </c>
      <c r="AB756" s="504" t="s">
        <v>24</v>
      </c>
      <c r="AC756" s="494" t="s">
        <v>25</v>
      </c>
      <c r="AD756" s="496" t="s">
        <v>26</v>
      </c>
      <c r="AE756" s="504" t="s">
        <v>24</v>
      </c>
      <c r="AF756" s="494" t="s">
        <v>25</v>
      </c>
      <c r="AG756" s="496" t="s">
        <v>26</v>
      </c>
      <c r="AH756" s="504" t="s">
        <v>24</v>
      </c>
      <c r="AI756" s="494" t="s">
        <v>25</v>
      </c>
      <c r="AJ756" s="496" t="s">
        <v>26</v>
      </c>
      <c r="AK756" s="504" t="s">
        <v>24</v>
      </c>
      <c r="AL756" s="494" t="s">
        <v>25</v>
      </c>
      <c r="AM756" s="496" t="s">
        <v>26</v>
      </c>
      <c r="AN756" s="504" t="s">
        <v>24</v>
      </c>
      <c r="AO756" s="494" t="s">
        <v>25</v>
      </c>
      <c r="AP756" s="496" t="s">
        <v>26</v>
      </c>
      <c r="AQ756" s="504" t="s">
        <v>24</v>
      </c>
      <c r="AR756" s="494" t="s">
        <v>25</v>
      </c>
      <c r="AS756" s="496" t="s">
        <v>26</v>
      </c>
      <c r="AT756" s="536" t="s">
        <v>24</v>
      </c>
      <c r="AU756" s="544" t="s">
        <v>27</v>
      </c>
    </row>
    <row r="757" spans="1:47" ht="15" customHeight="1">
      <c r="A757" s="539"/>
      <c r="B757" s="525"/>
      <c r="C757" s="525"/>
      <c r="D757" s="525"/>
      <c r="E757" s="525"/>
      <c r="F757" s="543"/>
      <c r="G757" s="505"/>
      <c r="H757" s="495"/>
      <c r="I757" s="497"/>
      <c r="J757" s="505"/>
      <c r="K757" s="495"/>
      <c r="L757" s="497"/>
      <c r="M757" s="505"/>
      <c r="N757" s="495"/>
      <c r="O757" s="497"/>
      <c r="P757" s="505"/>
      <c r="Q757" s="495"/>
      <c r="R757" s="497"/>
      <c r="S757" s="505"/>
      <c r="T757" s="495"/>
      <c r="U757" s="497"/>
      <c r="V757" s="505"/>
      <c r="W757" s="495"/>
      <c r="X757" s="535"/>
      <c r="Y757" s="505"/>
      <c r="Z757" s="495"/>
      <c r="AA757" s="497"/>
      <c r="AB757" s="505"/>
      <c r="AC757" s="495"/>
      <c r="AD757" s="497"/>
      <c r="AE757" s="505"/>
      <c r="AF757" s="495"/>
      <c r="AG757" s="497"/>
      <c r="AH757" s="505"/>
      <c r="AI757" s="495"/>
      <c r="AJ757" s="497"/>
      <c r="AK757" s="505"/>
      <c r="AL757" s="495"/>
      <c r="AM757" s="497"/>
      <c r="AN757" s="505"/>
      <c r="AO757" s="495"/>
      <c r="AP757" s="497"/>
      <c r="AQ757" s="505"/>
      <c r="AR757" s="495"/>
      <c r="AS757" s="497"/>
      <c r="AT757" s="537"/>
      <c r="AU757" s="545"/>
    </row>
    <row r="758" spans="1:47" ht="15" customHeight="1">
      <c r="A758" s="526" t="s">
        <v>204</v>
      </c>
      <c r="B758" s="540" t="s">
        <v>436</v>
      </c>
      <c r="C758" s="528">
        <v>163</v>
      </c>
      <c r="D758" s="530" t="s">
        <v>437</v>
      </c>
      <c r="E758" s="532" t="s">
        <v>438</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526"/>
      <c r="B759" s="540"/>
      <c r="C759" s="528"/>
      <c r="D759" s="530"/>
      <c r="E759" s="532"/>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526"/>
      <c r="B760" s="540"/>
      <c r="C760" s="528"/>
      <c r="D760" s="530"/>
      <c r="E760" s="532"/>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526"/>
      <c r="B761" s="540"/>
      <c r="C761" s="528"/>
      <c r="D761" s="530"/>
      <c r="E761" s="532"/>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526"/>
      <c r="B762" s="540"/>
      <c r="C762" s="528"/>
      <c r="D762" s="530"/>
      <c r="E762" s="532"/>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6">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526"/>
      <c r="B763" s="540"/>
      <c r="C763" s="528"/>
      <c r="D763" s="530"/>
      <c r="E763" s="532"/>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6">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526"/>
      <c r="B764" s="540"/>
      <c r="C764" s="528"/>
      <c r="D764" s="530"/>
      <c r="E764" s="532"/>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6">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526"/>
      <c r="B765" s="540"/>
      <c r="C765" s="528"/>
      <c r="D765" s="530"/>
      <c r="E765" s="532"/>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526"/>
      <c r="B766" s="540"/>
      <c r="C766" s="528"/>
      <c r="D766" s="530"/>
      <c r="E766" s="532"/>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527"/>
      <c r="B767" s="541"/>
      <c r="C767" s="529"/>
      <c r="D767" s="531"/>
      <c r="E767" s="533"/>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538" t="s">
        <v>22</v>
      </c>
      <c r="B768" s="524" t="s">
        <v>18</v>
      </c>
      <c r="C768" s="524" t="s">
        <v>19</v>
      </c>
      <c r="D768" s="524" t="s">
        <v>203</v>
      </c>
      <c r="E768" s="524" t="s">
        <v>21</v>
      </c>
      <c r="F768" s="542" t="s">
        <v>23</v>
      </c>
      <c r="G768" s="504" t="s">
        <v>24</v>
      </c>
      <c r="H768" s="494" t="s">
        <v>25</v>
      </c>
      <c r="I768" s="496" t="s">
        <v>26</v>
      </c>
      <c r="J768" s="504" t="s">
        <v>24</v>
      </c>
      <c r="K768" s="494" t="s">
        <v>25</v>
      </c>
      <c r="L768" s="496" t="s">
        <v>26</v>
      </c>
      <c r="M768" s="504" t="s">
        <v>24</v>
      </c>
      <c r="N768" s="494" t="s">
        <v>25</v>
      </c>
      <c r="O768" s="496" t="s">
        <v>26</v>
      </c>
      <c r="P768" s="504" t="s">
        <v>24</v>
      </c>
      <c r="Q768" s="494" t="s">
        <v>25</v>
      </c>
      <c r="R768" s="496" t="s">
        <v>26</v>
      </c>
      <c r="S768" s="504" t="s">
        <v>24</v>
      </c>
      <c r="T768" s="494" t="s">
        <v>25</v>
      </c>
      <c r="U768" s="496" t="s">
        <v>26</v>
      </c>
      <c r="V768" s="504" t="s">
        <v>24</v>
      </c>
      <c r="W768" s="494" t="s">
        <v>25</v>
      </c>
      <c r="X768" s="534" t="s">
        <v>26</v>
      </c>
      <c r="Y768" s="504" t="s">
        <v>24</v>
      </c>
      <c r="Z768" s="494" t="s">
        <v>25</v>
      </c>
      <c r="AA768" s="496" t="s">
        <v>26</v>
      </c>
      <c r="AB768" s="504" t="s">
        <v>24</v>
      </c>
      <c r="AC768" s="494" t="s">
        <v>25</v>
      </c>
      <c r="AD768" s="496" t="s">
        <v>26</v>
      </c>
      <c r="AE768" s="504" t="s">
        <v>24</v>
      </c>
      <c r="AF768" s="494" t="s">
        <v>25</v>
      </c>
      <c r="AG768" s="496" t="s">
        <v>26</v>
      </c>
      <c r="AH768" s="504" t="s">
        <v>24</v>
      </c>
      <c r="AI768" s="494" t="s">
        <v>25</v>
      </c>
      <c r="AJ768" s="496" t="s">
        <v>26</v>
      </c>
      <c r="AK768" s="504" t="s">
        <v>24</v>
      </c>
      <c r="AL768" s="494" t="s">
        <v>25</v>
      </c>
      <c r="AM768" s="496" t="s">
        <v>26</v>
      </c>
      <c r="AN768" s="504" t="s">
        <v>24</v>
      </c>
      <c r="AO768" s="494" t="s">
        <v>25</v>
      </c>
      <c r="AP768" s="496" t="s">
        <v>26</v>
      </c>
      <c r="AQ768" s="504" t="s">
        <v>24</v>
      </c>
      <c r="AR768" s="494" t="s">
        <v>25</v>
      </c>
      <c r="AS768" s="496" t="s">
        <v>26</v>
      </c>
      <c r="AT768" s="536" t="s">
        <v>24</v>
      </c>
      <c r="AU768" s="544" t="s">
        <v>27</v>
      </c>
    </row>
    <row r="769" spans="1:47" ht="15" customHeight="1">
      <c r="A769" s="539"/>
      <c r="B769" s="525"/>
      <c r="C769" s="525"/>
      <c r="D769" s="525"/>
      <c r="E769" s="525"/>
      <c r="F769" s="543"/>
      <c r="G769" s="505"/>
      <c r="H769" s="495"/>
      <c r="I769" s="497"/>
      <c r="J769" s="505"/>
      <c r="K769" s="495"/>
      <c r="L769" s="497"/>
      <c r="M769" s="505"/>
      <c r="N769" s="495"/>
      <c r="O769" s="497"/>
      <c r="P769" s="505"/>
      <c r="Q769" s="495"/>
      <c r="R769" s="497"/>
      <c r="S769" s="505"/>
      <c r="T769" s="495"/>
      <c r="U769" s="497"/>
      <c r="V769" s="505"/>
      <c r="W769" s="495"/>
      <c r="X769" s="535"/>
      <c r="Y769" s="505"/>
      <c r="Z769" s="495"/>
      <c r="AA769" s="497"/>
      <c r="AB769" s="505"/>
      <c r="AC769" s="495"/>
      <c r="AD769" s="497"/>
      <c r="AE769" s="505"/>
      <c r="AF769" s="495"/>
      <c r="AG769" s="497"/>
      <c r="AH769" s="505"/>
      <c r="AI769" s="495"/>
      <c r="AJ769" s="497"/>
      <c r="AK769" s="505"/>
      <c r="AL769" s="495"/>
      <c r="AM769" s="497"/>
      <c r="AN769" s="505"/>
      <c r="AO769" s="495"/>
      <c r="AP769" s="497"/>
      <c r="AQ769" s="505"/>
      <c r="AR769" s="495"/>
      <c r="AS769" s="497"/>
      <c r="AT769" s="537"/>
      <c r="AU769" s="545"/>
    </row>
    <row r="770" spans="1:47" ht="15" customHeight="1">
      <c r="A770" s="526" t="s">
        <v>204</v>
      </c>
      <c r="B770" s="540" t="s">
        <v>439</v>
      </c>
      <c r="C770" s="528">
        <v>1338</v>
      </c>
      <c r="D770" s="530" t="s">
        <v>440</v>
      </c>
      <c r="E770" s="532" t="s">
        <v>441</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526"/>
      <c r="B771" s="540"/>
      <c r="C771" s="528"/>
      <c r="D771" s="530"/>
      <c r="E771" s="532"/>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526"/>
      <c r="B772" s="540"/>
      <c r="C772" s="528"/>
      <c r="D772" s="530"/>
      <c r="E772" s="532"/>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526"/>
      <c r="B773" s="540"/>
      <c r="C773" s="528"/>
      <c r="D773" s="530"/>
      <c r="E773" s="532"/>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526"/>
      <c r="B774" s="540"/>
      <c r="C774" s="528"/>
      <c r="D774" s="530"/>
      <c r="E774" s="532"/>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526"/>
      <c r="B775" s="540"/>
      <c r="C775" s="528"/>
      <c r="D775" s="530"/>
      <c r="E775" s="532"/>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526"/>
      <c r="B776" s="540"/>
      <c r="C776" s="528"/>
      <c r="D776" s="530"/>
      <c r="E776" s="532"/>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526"/>
      <c r="B777" s="540"/>
      <c r="C777" s="528"/>
      <c r="D777" s="530"/>
      <c r="E777" s="532"/>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527"/>
      <c r="B778" s="541"/>
      <c r="C778" s="529"/>
      <c r="D778" s="531"/>
      <c r="E778" s="533"/>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538" t="s">
        <v>22</v>
      </c>
      <c r="B779" s="524" t="s">
        <v>18</v>
      </c>
      <c r="C779" s="524" t="s">
        <v>19</v>
      </c>
      <c r="D779" s="524" t="s">
        <v>203</v>
      </c>
      <c r="E779" s="524" t="s">
        <v>21</v>
      </c>
      <c r="F779" s="542" t="s">
        <v>23</v>
      </c>
      <c r="G779" s="504" t="s">
        <v>24</v>
      </c>
      <c r="H779" s="494" t="s">
        <v>25</v>
      </c>
      <c r="I779" s="496" t="s">
        <v>26</v>
      </c>
      <c r="J779" s="504" t="s">
        <v>24</v>
      </c>
      <c r="K779" s="494" t="s">
        <v>25</v>
      </c>
      <c r="L779" s="496" t="s">
        <v>26</v>
      </c>
      <c r="M779" s="504" t="s">
        <v>24</v>
      </c>
      <c r="N779" s="494" t="s">
        <v>25</v>
      </c>
      <c r="O779" s="496" t="s">
        <v>26</v>
      </c>
      <c r="P779" s="504" t="s">
        <v>24</v>
      </c>
      <c r="Q779" s="494" t="s">
        <v>25</v>
      </c>
      <c r="R779" s="496" t="s">
        <v>26</v>
      </c>
      <c r="S779" s="504" t="s">
        <v>24</v>
      </c>
      <c r="T779" s="494" t="s">
        <v>25</v>
      </c>
      <c r="U779" s="496" t="s">
        <v>26</v>
      </c>
      <c r="V779" s="504" t="s">
        <v>24</v>
      </c>
      <c r="W779" s="494" t="s">
        <v>25</v>
      </c>
      <c r="X779" s="534" t="s">
        <v>26</v>
      </c>
      <c r="Y779" s="504" t="s">
        <v>24</v>
      </c>
      <c r="Z779" s="494" t="s">
        <v>25</v>
      </c>
      <c r="AA779" s="496" t="s">
        <v>26</v>
      </c>
      <c r="AB779" s="504" t="s">
        <v>24</v>
      </c>
      <c r="AC779" s="494" t="s">
        <v>25</v>
      </c>
      <c r="AD779" s="496" t="s">
        <v>26</v>
      </c>
      <c r="AE779" s="504" t="s">
        <v>24</v>
      </c>
      <c r="AF779" s="494" t="s">
        <v>25</v>
      </c>
      <c r="AG779" s="496" t="s">
        <v>26</v>
      </c>
      <c r="AH779" s="504" t="s">
        <v>24</v>
      </c>
      <c r="AI779" s="494" t="s">
        <v>25</v>
      </c>
      <c r="AJ779" s="496" t="s">
        <v>26</v>
      </c>
      <c r="AK779" s="504" t="s">
        <v>24</v>
      </c>
      <c r="AL779" s="494" t="s">
        <v>25</v>
      </c>
      <c r="AM779" s="496" t="s">
        <v>26</v>
      </c>
      <c r="AN779" s="504" t="s">
        <v>24</v>
      </c>
      <c r="AO779" s="494" t="s">
        <v>25</v>
      </c>
      <c r="AP779" s="496" t="s">
        <v>26</v>
      </c>
      <c r="AQ779" s="504" t="s">
        <v>24</v>
      </c>
      <c r="AR779" s="494" t="s">
        <v>25</v>
      </c>
      <c r="AS779" s="496" t="s">
        <v>26</v>
      </c>
      <c r="AT779" s="536" t="s">
        <v>24</v>
      </c>
      <c r="AU779" s="544" t="s">
        <v>27</v>
      </c>
    </row>
    <row r="780" spans="1:47" ht="15" customHeight="1">
      <c r="A780" s="539"/>
      <c r="B780" s="525"/>
      <c r="C780" s="525"/>
      <c r="D780" s="525"/>
      <c r="E780" s="525"/>
      <c r="F780" s="543"/>
      <c r="G780" s="505"/>
      <c r="H780" s="495"/>
      <c r="I780" s="497"/>
      <c r="J780" s="505"/>
      <c r="K780" s="495"/>
      <c r="L780" s="497"/>
      <c r="M780" s="505"/>
      <c r="N780" s="495"/>
      <c r="O780" s="497"/>
      <c r="P780" s="505"/>
      <c r="Q780" s="495"/>
      <c r="R780" s="497"/>
      <c r="S780" s="505"/>
      <c r="T780" s="495"/>
      <c r="U780" s="497"/>
      <c r="V780" s="505"/>
      <c r="W780" s="495"/>
      <c r="X780" s="535"/>
      <c r="Y780" s="505"/>
      <c r="Z780" s="495"/>
      <c r="AA780" s="497"/>
      <c r="AB780" s="505"/>
      <c r="AC780" s="495"/>
      <c r="AD780" s="497"/>
      <c r="AE780" s="505"/>
      <c r="AF780" s="495"/>
      <c r="AG780" s="497"/>
      <c r="AH780" s="505"/>
      <c r="AI780" s="495"/>
      <c r="AJ780" s="497"/>
      <c r="AK780" s="505"/>
      <c r="AL780" s="495"/>
      <c r="AM780" s="497"/>
      <c r="AN780" s="505"/>
      <c r="AO780" s="495"/>
      <c r="AP780" s="497"/>
      <c r="AQ780" s="505"/>
      <c r="AR780" s="495"/>
      <c r="AS780" s="497"/>
      <c r="AT780" s="537"/>
      <c r="AU780" s="545"/>
    </row>
    <row r="781" spans="1:47" ht="15" customHeight="1">
      <c r="A781" s="526" t="s">
        <v>204</v>
      </c>
      <c r="B781" s="540" t="s">
        <v>442</v>
      </c>
      <c r="C781" s="528">
        <v>2594</v>
      </c>
      <c r="D781" s="556" t="s">
        <v>443</v>
      </c>
      <c r="E781" s="532" t="s">
        <v>444</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526"/>
      <c r="B782" s="540"/>
      <c r="C782" s="528"/>
      <c r="D782" s="556"/>
      <c r="E782" s="532"/>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526"/>
      <c r="B783" s="540"/>
      <c r="C783" s="528"/>
      <c r="D783" s="556"/>
      <c r="E783" s="532"/>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526"/>
      <c r="B784" s="540"/>
      <c r="C784" s="528"/>
      <c r="D784" s="556"/>
      <c r="E784" s="532"/>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526"/>
      <c r="B785" s="540"/>
      <c r="C785" s="528"/>
      <c r="D785" s="556"/>
      <c r="E785" s="532"/>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526"/>
      <c r="B786" s="540"/>
      <c r="C786" s="528"/>
      <c r="D786" s="556"/>
      <c r="E786" s="532"/>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526"/>
      <c r="B787" s="540"/>
      <c r="C787" s="528"/>
      <c r="D787" s="556"/>
      <c r="E787" s="532"/>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526"/>
      <c r="B788" s="540"/>
      <c r="C788" s="528"/>
      <c r="D788" s="556"/>
      <c r="E788" s="532"/>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527"/>
      <c r="B789" s="541"/>
      <c r="C789" s="529"/>
      <c r="D789" s="559"/>
      <c r="E789" s="533"/>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538" t="s">
        <v>22</v>
      </c>
      <c r="B790" s="524" t="s">
        <v>18</v>
      </c>
      <c r="C790" s="524" t="s">
        <v>19</v>
      </c>
      <c r="D790" s="524" t="s">
        <v>203</v>
      </c>
      <c r="E790" s="524" t="s">
        <v>21</v>
      </c>
      <c r="F790" s="542" t="s">
        <v>23</v>
      </c>
      <c r="G790" s="504" t="s">
        <v>24</v>
      </c>
      <c r="H790" s="494" t="s">
        <v>25</v>
      </c>
      <c r="I790" s="496" t="s">
        <v>26</v>
      </c>
      <c r="J790" s="504" t="s">
        <v>24</v>
      </c>
      <c r="K790" s="494" t="s">
        <v>25</v>
      </c>
      <c r="L790" s="496" t="s">
        <v>26</v>
      </c>
      <c r="M790" s="504" t="s">
        <v>24</v>
      </c>
      <c r="N790" s="494" t="s">
        <v>25</v>
      </c>
      <c r="O790" s="496" t="s">
        <v>26</v>
      </c>
      <c r="P790" s="504" t="s">
        <v>24</v>
      </c>
      <c r="Q790" s="494" t="s">
        <v>25</v>
      </c>
      <c r="R790" s="496" t="s">
        <v>26</v>
      </c>
      <c r="S790" s="504" t="s">
        <v>24</v>
      </c>
      <c r="T790" s="494" t="s">
        <v>25</v>
      </c>
      <c r="U790" s="496" t="s">
        <v>26</v>
      </c>
      <c r="V790" s="504" t="s">
        <v>24</v>
      </c>
      <c r="W790" s="494" t="s">
        <v>25</v>
      </c>
      <c r="X790" s="534" t="s">
        <v>26</v>
      </c>
      <c r="Y790" s="504" t="s">
        <v>24</v>
      </c>
      <c r="Z790" s="494" t="s">
        <v>25</v>
      </c>
      <c r="AA790" s="496" t="s">
        <v>26</v>
      </c>
      <c r="AB790" s="504" t="s">
        <v>24</v>
      </c>
      <c r="AC790" s="494" t="s">
        <v>25</v>
      </c>
      <c r="AD790" s="496" t="s">
        <v>26</v>
      </c>
      <c r="AE790" s="504" t="s">
        <v>24</v>
      </c>
      <c r="AF790" s="494" t="s">
        <v>25</v>
      </c>
      <c r="AG790" s="496" t="s">
        <v>26</v>
      </c>
      <c r="AH790" s="504" t="s">
        <v>24</v>
      </c>
      <c r="AI790" s="494" t="s">
        <v>25</v>
      </c>
      <c r="AJ790" s="496" t="s">
        <v>26</v>
      </c>
      <c r="AK790" s="504" t="s">
        <v>24</v>
      </c>
      <c r="AL790" s="494" t="s">
        <v>25</v>
      </c>
      <c r="AM790" s="496" t="s">
        <v>26</v>
      </c>
      <c r="AN790" s="504" t="s">
        <v>24</v>
      </c>
      <c r="AO790" s="494" t="s">
        <v>25</v>
      </c>
      <c r="AP790" s="496" t="s">
        <v>26</v>
      </c>
      <c r="AQ790" s="504" t="s">
        <v>24</v>
      </c>
      <c r="AR790" s="494" t="s">
        <v>25</v>
      </c>
      <c r="AS790" s="496" t="s">
        <v>26</v>
      </c>
      <c r="AT790" s="536" t="s">
        <v>24</v>
      </c>
      <c r="AU790" s="544" t="s">
        <v>27</v>
      </c>
    </row>
    <row r="791" spans="1:47" ht="25.5" customHeight="1">
      <c r="A791" s="539"/>
      <c r="B791" s="525"/>
      <c r="C791" s="525"/>
      <c r="D791" s="525"/>
      <c r="E791" s="525"/>
      <c r="F791" s="543"/>
      <c r="G791" s="505"/>
      <c r="H791" s="495"/>
      <c r="I791" s="497"/>
      <c r="J791" s="505"/>
      <c r="K791" s="495"/>
      <c r="L791" s="497"/>
      <c r="M791" s="505"/>
      <c r="N791" s="495"/>
      <c r="O791" s="497"/>
      <c r="P791" s="505"/>
      <c r="Q791" s="495"/>
      <c r="R791" s="497"/>
      <c r="S791" s="505"/>
      <c r="T791" s="495"/>
      <c r="U791" s="497"/>
      <c r="V791" s="505"/>
      <c r="W791" s="495"/>
      <c r="X791" s="535"/>
      <c r="Y791" s="505"/>
      <c r="Z791" s="495"/>
      <c r="AA791" s="497"/>
      <c r="AB791" s="505"/>
      <c r="AC791" s="495"/>
      <c r="AD791" s="497"/>
      <c r="AE791" s="505"/>
      <c r="AF791" s="495"/>
      <c r="AG791" s="497"/>
      <c r="AH791" s="505"/>
      <c r="AI791" s="495"/>
      <c r="AJ791" s="497"/>
      <c r="AK791" s="505"/>
      <c r="AL791" s="495"/>
      <c r="AM791" s="497"/>
      <c r="AN791" s="505"/>
      <c r="AO791" s="495"/>
      <c r="AP791" s="497"/>
      <c r="AQ791" s="505"/>
      <c r="AR791" s="495"/>
      <c r="AS791" s="497"/>
      <c r="AT791" s="537"/>
      <c r="AU791" s="545"/>
    </row>
    <row r="792" spans="1:47" ht="14.45" customHeight="1">
      <c r="A792" s="526" t="s">
        <v>445</v>
      </c>
      <c r="B792" s="540" t="s">
        <v>446</v>
      </c>
      <c r="C792" s="528">
        <v>2479</v>
      </c>
      <c r="D792" s="530" t="s">
        <v>447</v>
      </c>
      <c r="E792" s="532" t="s">
        <v>448</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526"/>
      <c r="B793" s="540"/>
      <c r="C793" s="528"/>
      <c r="D793" s="530"/>
      <c r="E793" s="532"/>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526"/>
      <c r="B794" s="540"/>
      <c r="C794" s="528"/>
      <c r="D794" s="530"/>
      <c r="E794" s="532"/>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526"/>
      <c r="B795" s="540"/>
      <c r="C795" s="528"/>
      <c r="D795" s="530"/>
      <c r="E795" s="532"/>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526"/>
      <c r="B796" s="540"/>
      <c r="C796" s="528"/>
      <c r="D796" s="530"/>
      <c r="E796" s="532"/>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526"/>
      <c r="B797" s="540"/>
      <c r="C797" s="528"/>
      <c r="D797" s="530"/>
      <c r="E797" s="532"/>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526"/>
      <c r="B798" s="540"/>
      <c r="C798" s="528"/>
      <c r="D798" s="530"/>
      <c r="E798" s="532"/>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8"/>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526"/>
      <c r="B799" s="540"/>
      <c r="C799" s="528"/>
      <c r="D799" s="530"/>
      <c r="E799" s="532"/>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526"/>
      <c r="B800" s="540"/>
      <c r="C800" s="528"/>
      <c r="D800" s="530"/>
      <c r="E800" s="532"/>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527"/>
      <c r="B801" s="541"/>
      <c r="C801" s="529"/>
      <c r="D801" s="531"/>
      <c r="E801" s="533"/>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538" t="s">
        <v>22</v>
      </c>
      <c r="B802" s="524" t="s">
        <v>18</v>
      </c>
      <c r="C802" s="524" t="s">
        <v>19</v>
      </c>
      <c r="D802" s="524" t="s">
        <v>203</v>
      </c>
      <c r="E802" s="524" t="s">
        <v>21</v>
      </c>
      <c r="F802" s="542" t="s">
        <v>23</v>
      </c>
      <c r="G802" s="504" t="s">
        <v>24</v>
      </c>
      <c r="H802" s="494" t="s">
        <v>25</v>
      </c>
      <c r="I802" s="508" t="s">
        <v>26</v>
      </c>
      <c r="J802" s="506" t="s">
        <v>24</v>
      </c>
      <c r="K802" s="494" t="s">
        <v>25</v>
      </c>
      <c r="L802" s="508" t="s">
        <v>26</v>
      </c>
      <c r="M802" s="506" t="s">
        <v>24</v>
      </c>
      <c r="N802" s="494" t="s">
        <v>25</v>
      </c>
      <c r="O802" s="508" t="s">
        <v>26</v>
      </c>
      <c r="P802" s="506" t="s">
        <v>24</v>
      </c>
      <c r="Q802" s="494" t="s">
        <v>25</v>
      </c>
      <c r="R802" s="508" t="s">
        <v>26</v>
      </c>
      <c r="S802" s="506" t="s">
        <v>24</v>
      </c>
      <c r="T802" s="494" t="s">
        <v>25</v>
      </c>
      <c r="U802" s="508" t="s">
        <v>26</v>
      </c>
      <c r="V802" s="506" t="s">
        <v>24</v>
      </c>
      <c r="W802" s="494" t="s">
        <v>25</v>
      </c>
      <c r="X802" s="560" t="s">
        <v>26</v>
      </c>
      <c r="Y802" s="506" t="s">
        <v>24</v>
      </c>
      <c r="Z802" s="494" t="s">
        <v>25</v>
      </c>
      <c r="AA802" s="508" t="s">
        <v>26</v>
      </c>
      <c r="AB802" s="506" t="s">
        <v>24</v>
      </c>
      <c r="AC802" s="494" t="s">
        <v>25</v>
      </c>
      <c r="AD802" s="508" t="s">
        <v>26</v>
      </c>
      <c r="AE802" s="506" t="s">
        <v>24</v>
      </c>
      <c r="AF802" s="494" t="s">
        <v>25</v>
      </c>
      <c r="AG802" s="508" t="s">
        <v>26</v>
      </c>
      <c r="AH802" s="506" t="s">
        <v>24</v>
      </c>
      <c r="AI802" s="494" t="s">
        <v>25</v>
      </c>
      <c r="AJ802" s="508" t="s">
        <v>26</v>
      </c>
      <c r="AK802" s="506" t="s">
        <v>24</v>
      </c>
      <c r="AL802" s="494" t="s">
        <v>25</v>
      </c>
      <c r="AM802" s="508" t="s">
        <v>26</v>
      </c>
      <c r="AN802" s="506" t="s">
        <v>24</v>
      </c>
      <c r="AO802" s="494" t="s">
        <v>25</v>
      </c>
      <c r="AP802" s="508" t="s">
        <v>26</v>
      </c>
      <c r="AQ802" s="506" t="s">
        <v>24</v>
      </c>
      <c r="AR802" s="494" t="s">
        <v>25</v>
      </c>
      <c r="AS802" s="508" t="s">
        <v>26</v>
      </c>
      <c r="AT802" s="557" t="s">
        <v>24</v>
      </c>
      <c r="AU802" s="544" t="s">
        <v>27</v>
      </c>
    </row>
    <row r="803" spans="1:47" ht="15" customHeight="1">
      <c r="A803" s="539"/>
      <c r="B803" s="525"/>
      <c r="C803" s="525"/>
      <c r="D803" s="525"/>
      <c r="E803" s="525"/>
      <c r="F803" s="543"/>
      <c r="G803" s="505"/>
      <c r="H803" s="495"/>
      <c r="I803" s="509"/>
      <c r="J803" s="507"/>
      <c r="K803" s="495"/>
      <c r="L803" s="509"/>
      <c r="M803" s="507"/>
      <c r="N803" s="495"/>
      <c r="O803" s="509"/>
      <c r="P803" s="507"/>
      <c r="Q803" s="495"/>
      <c r="R803" s="509"/>
      <c r="S803" s="507"/>
      <c r="T803" s="495"/>
      <c r="U803" s="509"/>
      <c r="V803" s="507"/>
      <c r="W803" s="495"/>
      <c r="X803" s="561"/>
      <c r="Y803" s="507"/>
      <c r="Z803" s="495"/>
      <c r="AA803" s="509"/>
      <c r="AB803" s="507"/>
      <c r="AC803" s="495"/>
      <c r="AD803" s="509"/>
      <c r="AE803" s="507"/>
      <c r="AF803" s="495"/>
      <c r="AG803" s="509"/>
      <c r="AH803" s="507"/>
      <c r="AI803" s="495"/>
      <c r="AJ803" s="509"/>
      <c r="AK803" s="507"/>
      <c r="AL803" s="495"/>
      <c r="AM803" s="509"/>
      <c r="AN803" s="507"/>
      <c r="AO803" s="495"/>
      <c r="AP803" s="509"/>
      <c r="AQ803" s="507"/>
      <c r="AR803" s="495"/>
      <c r="AS803" s="509"/>
      <c r="AT803" s="558"/>
      <c r="AU803" s="545"/>
    </row>
    <row r="804" spans="1:47" ht="15" customHeight="1">
      <c r="A804" s="526" t="s">
        <v>247</v>
      </c>
      <c r="B804" s="540" t="s">
        <v>449</v>
      </c>
      <c r="C804" s="528">
        <v>1808</v>
      </c>
      <c r="D804" s="556" t="s">
        <v>450</v>
      </c>
      <c r="E804" s="532" t="s">
        <v>451</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526"/>
      <c r="B805" s="540"/>
      <c r="C805" s="528"/>
      <c r="D805" s="556"/>
      <c r="E805" s="532"/>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526"/>
      <c r="B806" s="540"/>
      <c r="C806" s="528"/>
      <c r="D806" s="556"/>
      <c r="E806" s="532"/>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526"/>
      <c r="B807" s="540"/>
      <c r="C807" s="528"/>
      <c r="D807" s="556"/>
      <c r="E807" s="532"/>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526"/>
      <c r="B808" s="540"/>
      <c r="C808" s="528"/>
      <c r="D808" s="556"/>
      <c r="E808" s="532"/>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526"/>
      <c r="B809" s="540"/>
      <c r="C809" s="528"/>
      <c r="D809" s="556"/>
      <c r="E809" s="532"/>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526"/>
      <c r="B810" s="540"/>
      <c r="C810" s="528"/>
      <c r="D810" s="556"/>
      <c r="E810" s="532"/>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526"/>
      <c r="B811" s="540"/>
      <c r="C811" s="528"/>
      <c r="D811" s="556"/>
      <c r="E811" s="532"/>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526"/>
      <c r="B812" s="540"/>
      <c r="C812" s="528"/>
      <c r="D812" s="556"/>
      <c r="E812" s="532"/>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527"/>
      <c r="B813" s="541"/>
      <c r="C813" s="529"/>
      <c r="D813" s="559"/>
      <c r="E813" s="533"/>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489" t="s">
        <v>22</v>
      </c>
      <c r="B814" s="491" t="s">
        <v>18</v>
      </c>
      <c r="C814" s="491" t="s">
        <v>19</v>
      </c>
      <c r="D814" s="491" t="s">
        <v>203</v>
      </c>
      <c r="E814" s="491" t="s">
        <v>21</v>
      </c>
      <c r="F814" s="550" t="s">
        <v>23</v>
      </c>
      <c r="G814" s="466" t="s">
        <v>24</v>
      </c>
      <c r="H814" s="468" t="s">
        <v>25</v>
      </c>
      <c r="I814" s="470" t="s">
        <v>26</v>
      </c>
      <c r="J814" s="466" t="s">
        <v>24</v>
      </c>
      <c r="K814" s="468" t="s">
        <v>25</v>
      </c>
      <c r="L814" s="470" t="s">
        <v>26</v>
      </c>
      <c r="M814" s="466" t="s">
        <v>24</v>
      </c>
      <c r="N814" s="468" t="s">
        <v>25</v>
      </c>
      <c r="O814" s="470" t="s">
        <v>26</v>
      </c>
      <c r="P814" s="466" t="s">
        <v>24</v>
      </c>
      <c r="Q814" s="468" t="s">
        <v>25</v>
      </c>
      <c r="R814" s="470" t="s">
        <v>26</v>
      </c>
      <c r="S814" s="466" t="s">
        <v>24</v>
      </c>
      <c r="T814" s="468" t="s">
        <v>25</v>
      </c>
      <c r="U814" s="470" t="s">
        <v>26</v>
      </c>
      <c r="V814" s="466" t="s">
        <v>24</v>
      </c>
      <c r="W814" s="468" t="s">
        <v>25</v>
      </c>
      <c r="X814" s="551" t="s">
        <v>26</v>
      </c>
      <c r="Y814" s="466" t="s">
        <v>24</v>
      </c>
      <c r="Z814" s="468" t="s">
        <v>25</v>
      </c>
      <c r="AA814" s="470" t="s">
        <v>26</v>
      </c>
      <c r="AB814" s="466" t="s">
        <v>24</v>
      </c>
      <c r="AC814" s="468" t="s">
        <v>25</v>
      </c>
      <c r="AD814" s="470" t="s">
        <v>26</v>
      </c>
      <c r="AE814" s="466" t="s">
        <v>24</v>
      </c>
      <c r="AF814" s="468" t="s">
        <v>25</v>
      </c>
      <c r="AG814" s="470" t="s">
        <v>26</v>
      </c>
      <c r="AH814" s="466" t="s">
        <v>24</v>
      </c>
      <c r="AI814" s="468" t="s">
        <v>25</v>
      </c>
      <c r="AJ814" s="470" t="s">
        <v>26</v>
      </c>
      <c r="AK814" s="466" t="s">
        <v>24</v>
      </c>
      <c r="AL814" s="468" t="s">
        <v>25</v>
      </c>
      <c r="AM814" s="470" t="s">
        <v>26</v>
      </c>
      <c r="AN814" s="466" t="s">
        <v>24</v>
      </c>
      <c r="AO814" s="468" t="s">
        <v>25</v>
      </c>
      <c r="AP814" s="470" t="s">
        <v>26</v>
      </c>
      <c r="AQ814" s="466" t="s">
        <v>24</v>
      </c>
      <c r="AR814" s="468" t="s">
        <v>25</v>
      </c>
      <c r="AS814" s="470" t="s">
        <v>26</v>
      </c>
      <c r="AT814" s="555" t="s">
        <v>24</v>
      </c>
      <c r="AU814" s="472" t="s">
        <v>27</v>
      </c>
    </row>
    <row r="815" spans="1:47" ht="15" customHeight="1">
      <c r="A815" s="539"/>
      <c r="B815" s="525"/>
      <c r="C815" s="525"/>
      <c r="D815" s="525"/>
      <c r="E815" s="525"/>
      <c r="F815" s="543"/>
      <c r="G815" s="505"/>
      <c r="H815" s="495"/>
      <c r="I815" s="497"/>
      <c r="J815" s="505"/>
      <c r="K815" s="495"/>
      <c r="L815" s="497"/>
      <c r="M815" s="505"/>
      <c r="N815" s="495"/>
      <c r="O815" s="497"/>
      <c r="P815" s="505"/>
      <c r="Q815" s="495"/>
      <c r="R815" s="497"/>
      <c r="S815" s="505"/>
      <c r="T815" s="495"/>
      <c r="U815" s="497"/>
      <c r="V815" s="505"/>
      <c r="W815" s="495"/>
      <c r="X815" s="535"/>
      <c r="Y815" s="505"/>
      <c r="Z815" s="495"/>
      <c r="AA815" s="497"/>
      <c r="AB815" s="505"/>
      <c r="AC815" s="495"/>
      <c r="AD815" s="497"/>
      <c r="AE815" s="505"/>
      <c r="AF815" s="495"/>
      <c r="AG815" s="497"/>
      <c r="AH815" s="505"/>
      <c r="AI815" s="495"/>
      <c r="AJ815" s="497"/>
      <c r="AK815" s="505"/>
      <c r="AL815" s="495"/>
      <c r="AM815" s="497"/>
      <c r="AN815" s="505"/>
      <c r="AO815" s="495"/>
      <c r="AP815" s="497"/>
      <c r="AQ815" s="505"/>
      <c r="AR815" s="495"/>
      <c r="AS815" s="497"/>
      <c r="AT815" s="537"/>
      <c r="AU815" s="545"/>
    </row>
    <row r="816" spans="1:47" ht="15" customHeight="1">
      <c r="A816" s="526" t="s">
        <v>327</v>
      </c>
      <c r="B816" s="540" t="s">
        <v>452</v>
      </c>
      <c r="C816" s="528">
        <v>2104</v>
      </c>
      <c r="D816" s="556">
        <v>3037</v>
      </c>
      <c r="E816" s="532" t="s">
        <v>453</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526"/>
      <c r="B817" s="540"/>
      <c r="C817" s="528"/>
      <c r="D817" s="556"/>
      <c r="E817" s="532"/>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526"/>
      <c r="B818" s="540"/>
      <c r="C818" s="528"/>
      <c r="D818" s="556"/>
      <c r="E818" s="532"/>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526"/>
      <c r="B819" s="540"/>
      <c r="C819" s="528"/>
      <c r="D819" s="556"/>
      <c r="E819" s="532"/>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526"/>
      <c r="B820" s="540"/>
      <c r="C820" s="528"/>
      <c r="D820" s="556"/>
      <c r="E820" s="532"/>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526"/>
      <c r="B821" s="540"/>
      <c r="C821" s="528"/>
      <c r="D821" s="556"/>
      <c r="E821" s="532"/>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526"/>
      <c r="B822" s="540"/>
      <c r="C822" s="528"/>
      <c r="D822" s="556"/>
      <c r="E822" s="532"/>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526"/>
      <c r="B823" s="540"/>
      <c r="C823" s="528"/>
      <c r="D823" s="556"/>
      <c r="E823" s="532"/>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473"/>
      <c r="B824" s="476"/>
      <c r="C824" s="479"/>
      <c r="D824" s="562"/>
      <c r="E824" s="485"/>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538" t="s">
        <v>22</v>
      </c>
      <c r="B825" s="524" t="s">
        <v>18</v>
      </c>
      <c r="C825" s="524" t="s">
        <v>19</v>
      </c>
      <c r="D825" s="524" t="s">
        <v>203</v>
      </c>
      <c r="E825" s="524" t="s">
        <v>21</v>
      </c>
      <c r="F825" s="542" t="s">
        <v>23</v>
      </c>
      <c r="G825" s="504" t="s">
        <v>24</v>
      </c>
      <c r="H825" s="494" t="s">
        <v>25</v>
      </c>
      <c r="I825" s="496" t="s">
        <v>26</v>
      </c>
      <c r="J825" s="504" t="s">
        <v>24</v>
      </c>
      <c r="K825" s="494" t="s">
        <v>25</v>
      </c>
      <c r="L825" s="496" t="s">
        <v>26</v>
      </c>
      <c r="M825" s="504" t="s">
        <v>24</v>
      </c>
      <c r="N825" s="494" t="s">
        <v>25</v>
      </c>
      <c r="O825" s="496" t="s">
        <v>26</v>
      </c>
      <c r="P825" s="504" t="s">
        <v>24</v>
      </c>
      <c r="Q825" s="494" t="s">
        <v>25</v>
      </c>
      <c r="R825" s="496" t="s">
        <v>26</v>
      </c>
      <c r="S825" s="504" t="s">
        <v>24</v>
      </c>
      <c r="T825" s="494" t="s">
        <v>25</v>
      </c>
      <c r="U825" s="496" t="s">
        <v>26</v>
      </c>
      <c r="V825" s="504" t="s">
        <v>24</v>
      </c>
      <c r="W825" s="494" t="s">
        <v>25</v>
      </c>
      <c r="X825" s="534" t="s">
        <v>26</v>
      </c>
      <c r="Y825" s="504" t="s">
        <v>24</v>
      </c>
      <c r="Z825" s="494" t="s">
        <v>25</v>
      </c>
      <c r="AA825" s="496" t="s">
        <v>26</v>
      </c>
      <c r="AB825" s="504" t="s">
        <v>24</v>
      </c>
      <c r="AC825" s="494" t="s">
        <v>25</v>
      </c>
      <c r="AD825" s="496" t="s">
        <v>26</v>
      </c>
      <c r="AE825" s="504" t="s">
        <v>24</v>
      </c>
      <c r="AF825" s="494" t="s">
        <v>25</v>
      </c>
      <c r="AG825" s="496" t="s">
        <v>26</v>
      </c>
      <c r="AH825" s="504" t="s">
        <v>24</v>
      </c>
      <c r="AI825" s="494" t="s">
        <v>25</v>
      </c>
      <c r="AJ825" s="496" t="s">
        <v>26</v>
      </c>
      <c r="AK825" s="504" t="s">
        <v>24</v>
      </c>
      <c r="AL825" s="494" t="s">
        <v>25</v>
      </c>
      <c r="AM825" s="496" t="s">
        <v>26</v>
      </c>
      <c r="AN825" s="504" t="s">
        <v>24</v>
      </c>
      <c r="AO825" s="494" t="s">
        <v>25</v>
      </c>
      <c r="AP825" s="496" t="s">
        <v>26</v>
      </c>
      <c r="AQ825" s="504" t="s">
        <v>24</v>
      </c>
      <c r="AR825" s="494" t="s">
        <v>25</v>
      </c>
      <c r="AS825" s="496" t="s">
        <v>26</v>
      </c>
      <c r="AT825" s="536" t="s">
        <v>24</v>
      </c>
      <c r="AU825" s="544" t="s">
        <v>27</v>
      </c>
    </row>
    <row r="826" spans="1:47" ht="25.5" customHeight="1">
      <c r="A826" s="539"/>
      <c r="B826" s="525"/>
      <c r="C826" s="525"/>
      <c r="D826" s="525"/>
      <c r="E826" s="525"/>
      <c r="F826" s="543"/>
      <c r="G826" s="505"/>
      <c r="H826" s="495"/>
      <c r="I826" s="497"/>
      <c r="J826" s="505"/>
      <c r="K826" s="495"/>
      <c r="L826" s="497"/>
      <c r="M826" s="505"/>
      <c r="N826" s="495"/>
      <c r="O826" s="497"/>
      <c r="P826" s="505"/>
      <c r="Q826" s="495"/>
      <c r="R826" s="497"/>
      <c r="S826" s="505"/>
      <c r="T826" s="495"/>
      <c r="U826" s="497"/>
      <c r="V826" s="505"/>
      <c r="W826" s="495"/>
      <c r="X826" s="535"/>
      <c r="Y826" s="505"/>
      <c r="Z826" s="495"/>
      <c r="AA826" s="497"/>
      <c r="AB826" s="505"/>
      <c r="AC826" s="495"/>
      <c r="AD826" s="497"/>
      <c r="AE826" s="505"/>
      <c r="AF826" s="495"/>
      <c r="AG826" s="497"/>
      <c r="AH826" s="505"/>
      <c r="AI826" s="495"/>
      <c r="AJ826" s="497"/>
      <c r="AK826" s="505"/>
      <c r="AL826" s="495"/>
      <c r="AM826" s="497"/>
      <c r="AN826" s="505"/>
      <c r="AO826" s="495"/>
      <c r="AP826" s="497"/>
      <c r="AQ826" s="505"/>
      <c r="AR826" s="495"/>
      <c r="AS826" s="497"/>
      <c r="AT826" s="537"/>
      <c r="AU826" s="545"/>
    </row>
    <row r="827" spans="1:47" ht="15">
      <c r="A827" s="526" t="s">
        <v>247</v>
      </c>
      <c r="B827" s="540" t="s">
        <v>454</v>
      </c>
      <c r="C827" s="528">
        <v>2615</v>
      </c>
      <c r="D827" s="530" t="s">
        <v>455</v>
      </c>
      <c r="E827" s="532" t="s">
        <v>456</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526"/>
      <c r="B828" s="540"/>
      <c r="C828" s="528"/>
      <c r="D828" s="530"/>
      <c r="E828" s="532"/>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526"/>
      <c r="B829" s="540"/>
      <c r="C829" s="528"/>
      <c r="D829" s="530"/>
      <c r="E829" s="532"/>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526"/>
      <c r="B830" s="540"/>
      <c r="C830" s="528"/>
      <c r="D830" s="530"/>
      <c r="E830" s="532"/>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526"/>
      <c r="B831" s="540"/>
      <c r="C831" s="528"/>
      <c r="D831" s="530"/>
      <c r="E831" s="532"/>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526"/>
      <c r="B832" s="540"/>
      <c r="C832" s="528"/>
      <c r="D832" s="530"/>
      <c r="E832" s="532"/>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526"/>
      <c r="B833" s="540"/>
      <c r="C833" s="528"/>
      <c r="D833" s="530"/>
      <c r="E833" s="532"/>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526"/>
      <c r="B834" s="540"/>
      <c r="C834" s="528"/>
      <c r="D834" s="530"/>
      <c r="E834" s="532"/>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527"/>
      <c r="B835" s="541"/>
      <c r="C835" s="529"/>
      <c r="D835" s="531"/>
      <c r="E835" s="533"/>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489" t="s">
        <v>22</v>
      </c>
      <c r="B836" s="491" t="s">
        <v>18</v>
      </c>
      <c r="C836" s="491" t="s">
        <v>19</v>
      </c>
      <c r="D836" s="491" t="s">
        <v>203</v>
      </c>
      <c r="E836" s="491" t="s">
        <v>21</v>
      </c>
      <c r="F836" s="550" t="s">
        <v>23</v>
      </c>
      <c r="G836" s="466" t="s">
        <v>24</v>
      </c>
      <c r="H836" s="468" t="s">
        <v>25</v>
      </c>
      <c r="I836" s="470" t="s">
        <v>26</v>
      </c>
      <c r="J836" s="466" t="s">
        <v>24</v>
      </c>
      <c r="K836" s="468" t="s">
        <v>25</v>
      </c>
      <c r="L836" s="470" t="s">
        <v>26</v>
      </c>
      <c r="M836" s="466" t="s">
        <v>24</v>
      </c>
      <c r="N836" s="468" t="s">
        <v>25</v>
      </c>
      <c r="O836" s="470" t="s">
        <v>26</v>
      </c>
      <c r="P836" s="466" t="s">
        <v>24</v>
      </c>
      <c r="Q836" s="468" t="s">
        <v>25</v>
      </c>
      <c r="R836" s="470" t="s">
        <v>26</v>
      </c>
      <c r="S836" s="466" t="s">
        <v>24</v>
      </c>
      <c r="T836" s="468" t="s">
        <v>25</v>
      </c>
      <c r="U836" s="470" t="s">
        <v>26</v>
      </c>
      <c r="V836" s="466" t="s">
        <v>24</v>
      </c>
      <c r="W836" s="468" t="s">
        <v>25</v>
      </c>
      <c r="X836" s="551" t="s">
        <v>26</v>
      </c>
      <c r="Y836" s="466" t="s">
        <v>24</v>
      </c>
      <c r="Z836" s="468" t="s">
        <v>25</v>
      </c>
      <c r="AA836" s="470" t="s">
        <v>26</v>
      </c>
      <c r="AB836" s="466" t="s">
        <v>24</v>
      </c>
      <c r="AC836" s="468" t="s">
        <v>25</v>
      </c>
      <c r="AD836" s="470" t="s">
        <v>26</v>
      </c>
      <c r="AE836" s="466" t="s">
        <v>24</v>
      </c>
      <c r="AF836" s="468" t="s">
        <v>25</v>
      </c>
      <c r="AG836" s="470" t="s">
        <v>26</v>
      </c>
      <c r="AH836" s="466" t="s">
        <v>24</v>
      </c>
      <c r="AI836" s="468" t="s">
        <v>25</v>
      </c>
      <c r="AJ836" s="470" t="s">
        <v>26</v>
      </c>
      <c r="AK836" s="466" t="s">
        <v>24</v>
      </c>
      <c r="AL836" s="468" t="s">
        <v>25</v>
      </c>
      <c r="AM836" s="470" t="s">
        <v>26</v>
      </c>
      <c r="AN836" s="466" t="s">
        <v>24</v>
      </c>
      <c r="AO836" s="468" t="s">
        <v>25</v>
      </c>
      <c r="AP836" s="470" t="s">
        <v>26</v>
      </c>
      <c r="AQ836" s="466" t="s">
        <v>24</v>
      </c>
      <c r="AR836" s="468" t="s">
        <v>25</v>
      </c>
      <c r="AS836" s="470" t="s">
        <v>26</v>
      </c>
      <c r="AT836" s="555" t="s">
        <v>24</v>
      </c>
      <c r="AU836" s="472" t="s">
        <v>27</v>
      </c>
    </row>
    <row r="837" spans="1:47" ht="15" customHeight="1">
      <c r="A837" s="539"/>
      <c r="B837" s="525"/>
      <c r="C837" s="525"/>
      <c r="D837" s="525"/>
      <c r="E837" s="525"/>
      <c r="F837" s="543"/>
      <c r="G837" s="505"/>
      <c r="H837" s="495"/>
      <c r="I837" s="497"/>
      <c r="J837" s="505"/>
      <c r="K837" s="495"/>
      <c r="L837" s="497"/>
      <c r="M837" s="505"/>
      <c r="N837" s="495"/>
      <c r="O837" s="497"/>
      <c r="P837" s="505"/>
      <c r="Q837" s="495"/>
      <c r="R837" s="497"/>
      <c r="S837" s="505"/>
      <c r="T837" s="495"/>
      <c r="U837" s="497"/>
      <c r="V837" s="505"/>
      <c r="W837" s="495"/>
      <c r="X837" s="535"/>
      <c r="Y837" s="505"/>
      <c r="Z837" s="495"/>
      <c r="AA837" s="497"/>
      <c r="AB837" s="505"/>
      <c r="AC837" s="495"/>
      <c r="AD837" s="497"/>
      <c r="AE837" s="505"/>
      <c r="AF837" s="495"/>
      <c r="AG837" s="497"/>
      <c r="AH837" s="505"/>
      <c r="AI837" s="495"/>
      <c r="AJ837" s="497"/>
      <c r="AK837" s="505"/>
      <c r="AL837" s="495"/>
      <c r="AM837" s="497"/>
      <c r="AN837" s="505"/>
      <c r="AO837" s="495"/>
      <c r="AP837" s="497"/>
      <c r="AQ837" s="505"/>
      <c r="AR837" s="495"/>
      <c r="AS837" s="497"/>
      <c r="AT837" s="537"/>
      <c r="AU837" s="545"/>
    </row>
    <row r="838" spans="1:47" ht="15" customHeight="1">
      <c r="A838" s="526" t="s">
        <v>246</v>
      </c>
      <c r="B838" s="540" t="s">
        <v>457</v>
      </c>
      <c r="C838" s="528">
        <v>2267</v>
      </c>
      <c r="D838" s="556" t="s">
        <v>458</v>
      </c>
      <c r="E838" s="532" t="s">
        <v>459</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526"/>
      <c r="B839" s="540"/>
      <c r="C839" s="528"/>
      <c r="D839" s="556"/>
      <c r="E839" s="532"/>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526"/>
      <c r="B840" s="540"/>
      <c r="C840" s="528"/>
      <c r="D840" s="556"/>
      <c r="E840" s="532"/>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526"/>
      <c r="B841" s="540"/>
      <c r="C841" s="528"/>
      <c r="D841" s="556"/>
      <c r="E841" s="532"/>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526"/>
      <c r="B842" s="540"/>
      <c r="C842" s="528"/>
      <c r="D842" s="556"/>
      <c r="E842" s="532"/>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526"/>
      <c r="B843" s="540"/>
      <c r="C843" s="528"/>
      <c r="D843" s="556"/>
      <c r="E843" s="532"/>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526"/>
      <c r="B844" s="540"/>
      <c r="C844" s="528"/>
      <c r="D844" s="556"/>
      <c r="E844" s="532"/>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526"/>
      <c r="B845" s="540"/>
      <c r="C845" s="528"/>
      <c r="D845" s="556"/>
      <c r="E845" s="532"/>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473"/>
      <c r="B846" s="476"/>
      <c r="C846" s="479"/>
      <c r="D846" s="562"/>
      <c r="E846" s="485"/>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538" t="s">
        <v>22</v>
      </c>
      <c r="B847" s="524" t="s">
        <v>18</v>
      </c>
      <c r="C847" s="524" t="s">
        <v>19</v>
      </c>
      <c r="D847" s="524" t="s">
        <v>203</v>
      </c>
      <c r="E847" s="524" t="s">
        <v>21</v>
      </c>
      <c r="F847" s="542" t="s">
        <v>23</v>
      </c>
      <c r="G847" s="504" t="s">
        <v>24</v>
      </c>
      <c r="H847" s="494" t="s">
        <v>25</v>
      </c>
      <c r="I847" s="496" t="s">
        <v>26</v>
      </c>
      <c r="J847" s="504" t="s">
        <v>24</v>
      </c>
      <c r="K847" s="494" t="s">
        <v>25</v>
      </c>
      <c r="L847" s="496" t="s">
        <v>26</v>
      </c>
      <c r="M847" s="504" t="s">
        <v>24</v>
      </c>
      <c r="N847" s="494" t="s">
        <v>25</v>
      </c>
      <c r="O847" s="496" t="s">
        <v>26</v>
      </c>
      <c r="P847" s="504" t="s">
        <v>24</v>
      </c>
      <c r="Q847" s="494" t="s">
        <v>25</v>
      </c>
      <c r="R847" s="496" t="s">
        <v>26</v>
      </c>
      <c r="S847" s="504" t="s">
        <v>24</v>
      </c>
      <c r="T847" s="494" t="s">
        <v>25</v>
      </c>
      <c r="U847" s="496" t="s">
        <v>26</v>
      </c>
      <c r="V847" s="504" t="s">
        <v>24</v>
      </c>
      <c r="W847" s="494" t="s">
        <v>25</v>
      </c>
      <c r="X847" s="534" t="s">
        <v>26</v>
      </c>
      <c r="Y847" s="504" t="s">
        <v>24</v>
      </c>
      <c r="Z847" s="494" t="s">
        <v>25</v>
      </c>
      <c r="AA847" s="496" t="s">
        <v>26</v>
      </c>
      <c r="AB847" s="504" t="s">
        <v>24</v>
      </c>
      <c r="AC847" s="494" t="s">
        <v>25</v>
      </c>
      <c r="AD847" s="496" t="s">
        <v>26</v>
      </c>
      <c r="AE847" s="504" t="s">
        <v>24</v>
      </c>
      <c r="AF847" s="494" t="s">
        <v>25</v>
      </c>
      <c r="AG847" s="496" t="s">
        <v>26</v>
      </c>
      <c r="AH847" s="504" t="s">
        <v>24</v>
      </c>
      <c r="AI847" s="494" t="s">
        <v>25</v>
      </c>
      <c r="AJ847" s="496" t="s">
        <v>26</v>
      </c>
      <c r="AK847" s="504" t="s">
        <v>24</v>
      </c>
      <c r="AL847" s="494" t="s">
        <v>25</v>
      </c>
      <c r="AM847" s="496" t="s">
        <v>26</v>
      </c>
      <c r="AN847" s="504" t="s">
        <v>24</v>
      </c>
      <c r="AO847" s="494" t="s">
        <v>25</v>
      </c>
      <c r="AP847" s="496" t="s">
        <v>26</v>
      </c>
      <c r="AQ847" s="504" t="s">
        <v>24</v>
      </c>
      <c r="AR847" s="494" t="s">
        <v>25</v>
      </c>
      <c r="AS847" s="496" t="s">
        <v>26</v>
      </c>
      <c r="AT847" s="536" t="s">
        <v>24</v>
      </c>
      <c r="AU847" s="544" t="s">
        <v>27</v>
      </c>
    </row>
    <row r="848" spans="1:47" ht="25.5" customHeight="1">
      <c r="A848" s="539"/>
      <c r="B848" s="525"/>
      <c r="C848" s="525"/>
      <c r="D848" s="525"/>
      <c r="E848" s="525"/>
      <c r="F848" s="543"/>
      <c r="G848" s="505"/>
      <c r="H848" s="495"/>
      <c r="I848" s="497"/>
      <c r="J848" s="505"/>
      <c r="K848" s="495"/>
      <c r="L848" s="497"/>
      <c r="M848" s="505"/>
      <c r="N848" s="495"/>
      <c r="O848" s="497"/>
      <c r="P848" s="505"/>
      <c r="Q848" s="495"/>
      <c r="R848" s="497"/>
      <c r="S848" s="505"/>
      <c r="T848" s="495"/>
      <c r="U848" s="497"/>
      <c r="V848" s="505"/>
      <c r="W848" s="495"/>
      <c r="X848" s="535"/>
      <c r="Y848" s="505"/>
      <c r="Z848" s="495"/>
      <c r="AA848" s="497"/>
      <c r="AB848" s="505"/>
      <c r="AC848" s="495"/>
      <c r="AD848" s="497"/>
      <c r="AE848" s="505"/>
      <c r="AF848" s="495"/>
      <c r="AG848" s="497"/>
      <c r="AH848" s="505"/>
      <c r="AI848" s="495"/>
      <c r="AJ848" s="497"/>
      <c r="AK848" s="505"/>
      <c r="AL848" s="495"/>
      <c r="AM848" s="497"/>
      <c r="AN848" s="505"/>
      <c r="AO848" s="495"/>
      <c r="AP848" s="497"/>
      <c r="AQ848" s="505"/>
      <c r="AR848" s="495"/>
      <c r="AS848" s="497"/>
      <c r="AT848" s="537"/>
      <c r="AU848" s="545"/>
    </row>
    <row r="849" spans="1:47" ht="15" customHeight="1">
      <c r="A849" s="526" t="s">
        <v>247</v>
      </c>
      <c r="B849" s="540" t="s">
        <v>460</v>
      </c>
      <c r="C849" s="528">
        <v>414</v>
      </c>
      <c r="D849" s="530" t="s">
        <v>461</v>
      </c>
      <c r="E849" s="532" t="s">
        <v>462</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526"/>
      <c r="B850" s="540"/>
      <c r="C850" s="528"/>
      <c r="D850" s="530"/>
      <c r="E850" s="532"/>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526"/>
      <c r="B851" s="540"/>
      <c r="C851" s="528"/>
      <c r="D851" s="530"/>
      <c r="E851" s="532"/>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526"/>
      <c r="B852" s="540"/>
      <c r="C852" s="528"/>
      <c r="D852" s="530"/>
      <c r="E852" s="532"/>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526"/>
      <c r="B853" s="540"/>
      <c r="C853" s="528"/>
      <c r="D853" s="530"/>
      <c r="E853" s="532"/>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526"/>
      <c r="B854" s="540"/>
      <c r="C854" s="528"/>
      <c r="D854" s="530"/>
      <c r="E854" s="532"/>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526"/>
      <c r="B855" s="540"/>
      <c r="C855" s="528"/>
      <c r="D855" s="530"/>
      <c r="E855" s="532"/>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526"/>
      <c r="B856" s="540"/>
      <c r="C856" s="528"/>
      <c r="D856" s="530"/>
      <c r="E856" s="532"/>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527"/>
      <c r="B857" s="541"/>
      <c r="C857" s="529"/>
      <c r="D857" s="531"/>
      <c r="E857" s="533"/>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539" t="s">
        <v>22</v>
      </c>
      <c r="B858" s="525" t="s">
        <v>18</v>
      </c>
      <c r="C858" s="525" t="s">
        <v>19</v>
      </c>
      <c r="D858" s="525" t="s">
        <v>203</v>
      </c>
      <c r="E858" s="525" t="s">
        <v>21</v>
      </c>
      <c r="F858" s="543" t="s">
        <v>23</v>
      </c>
      <c r="G858" s="505" t="s">
        <v>24</v>
      </c>
      <c r="H858" s="495" t="s">
        <v>25</v>
      </c>
      <c r="I858" s="497" t="s">
        <v>26</v>
      </c>
      <c r="J858" s="505" t="s">
        <v>24</v>
      </c>
      <c r="K858" s="495" t="s">
        <v>25</v>
      </c>
      <c r="L858" s="497" t="s">
        <v>26</v>
      </c>
      <c r="M858" s="505" t="s">
        <v>24</v>
      </c>
      <c r="N858" s="495" t="s">
        <v>25</v>
      </c>
      <c r="O858" s="497" t="s">
        <v>26</v>
      </c>
      <c r="P858" s="505" t="s">
        <v>24</v>
      </c>
      <c r="Q858" s="495" t="s">
        <v>25</v>
      </c>
      <c r="R858" s="497" t="s">
        <v>26</v>
      </c>
      <c r="S858" s="505" t="s">
        <v>24</v>
      </c>
      <c r="T858" s="495" t="s">
        <v>25</v>
      </c>
      <c r="U858" s="497" t="s">
        <v>26</v>
      </c>
      <c r="V858" s="505" t="s">
        <v>24</v>
      </c>
      <c r="W858" s="495" t="s">
        <v>25</v>
      </c>
      <c r="X858" s="535" t="s">
        <v>26</v>
      </c>
      <c r="Y858" s="505" t="s">
        <v>24</v>
      </c>
      <c r="Z858" s="495" t="s">
        <v>25</v>
      </c>
      <c r="AA858" s="497" t="s">
        <v>26</v>
      </c>
      <c r="AB858" s="505" t="s">
        <v>24</v>
      </c>
      <c r="AC858" s="495" t="s">
        <v>25</v>
      </c>
      <c r="AD858" s="497" t="s">
        <v>26</v>
      </c>
      <c r="AE858" s="505" t="s">
        <v>24</v>
      </c>
      <c r="AF858" s="495" t="s">
        <v>25</v>
      </c>
      <c r="AG858" s="497" t="s">
        <v>26</v>
      </c>
      <c r="AH858" s="505" t="s">
        <v>24</v>
      </c>
      <c r="AI858" s="495" t="s">
        <v>25</v>
      </c>
      <c r="AJ858" s="497" t="s">
        <v>26</v>
      </c>
      <c r="AK858" s="505" t="s">
        <v>24</v>
      </c>
      <c r="AL858" s="495" t="s">
        <v>25</v>
      </c>
      <c r="AM858" s="497" t="s">
        <v>26</v>
      </c>
      <c r="AN858" s="505" t="s">
        <v>24</v>
      </c>
      <c r="AO858" s="495" t="s">
        <v>25</v>
      </c>
      <c r="AP858" s="497" t="s">
        <v>26</v>
      </c>
      <c r="AQ858" s="505" t="s">
        <v>24</v>
      </c>
      <c r="AR858" s="495" t="s">
        <v>25</v>
      </c>
      <c r="AS858" s="497" t="s">
        <v>26</v>
      </c>
      <c r="AT858" s="537" t="s">
        <v>24</v>
      </c>
      <c r="AU858" s="545" t="s">
        <v>27</v>
      </c>
    </row>
    <row r="859" spans="1:47" ht="15" customHeight="1">
      <c r="A859" s="539"/>
      <c r="B859" s="525"/>
      <c r="C859" s="525"/>
      <c r="D859" s="525"/>
      <c r="E859" s="525"/>
      <c r="F859" s="543"/>
      <c r="G859" s="505"/>
      <c r="H859" s="495"/>
      <c r="I859" s="497"/>
      <c r="J859" s="505"/>
      <c r="K859" s="495"/>
      <c r="L859" s="497"/>
      <c r="M859" s="505"/>
      <c r="N859" s="495"/>
      <c r="O859" s="497"/>
      <c r="P859" s="505"/>
      <c r="Q859" s="495"/>
      <c r="R859" s="497"/>
      <c r="S859" s="505"/>
      <c r="T859" s="495"/>
      <c r="U859" s="497"/>
      <c r="V859" s="505"/>
      <c r="W859" s="495"/>
      <c r="X859" s="535"/>
      <c r="Y859" s="505"/>
      <c r="Z859" s="495"/>
      <c r="AA859" s="497"/>
      <c r="AB859" s="505"/>
      <c r="AC859" s="495"/>
      <c r="AD859" s="497"/>
      <c r="AE859" s="505"/>
      <c r="AF859" s="495"/>
      <c r="AG859" s="497"/>
      <c r="AH859" s="505"/>
      <c r="AI859" s="495"/>
      <c r="AJ859" s="497"/>
      <c r="AK859" s="505"/>
      <c r="AL859" s="495"/>
      <c r="AM859" s="497"/>
      <c r="AN859" s="505"/>
      <c r="AO859" s="495"/>
      <c r="AP859" s="497"/>
      <c r="AQ859" s="505"/>
      <c r="AR859" s="495"/>
      <c r="AS859" s="497"/>
      <c r="AT859" s="537"/>
      <c r="AU859" s="545"/>
    </row>
    <row r="860" spans="1:47" ht="15" customHeight="1">
      <c r="A860" s="526" t="s">
        <v>245</v>
      </c>
      <c r="B860" s="540" t="s">
        <v>463</v>
      </c>
      <c r="C860" s="528">
        <v>2033</v>
      </c>
      <c r="D860" s="556">
        <v>755</v>
      </c>
      <c r="E860" s="532" t="s">
        <v>464</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526"/>
      <c r="B861" s="540"/>
      <c r="C861" s="528"/>
      <c r="D861" s="556"/>
      <c r="E861" s="532"/>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552">
        <f>SUM(G860:G871,J860:J871,M860:M871,P860:P871,S860:S871,AT860:AT871,V860:V871,Y860:Y871,AB860:AB871,AE860:AE871,AH860:AH871,AK860:AK871,AN860:AN871,AQ860:AQ871)</f>
        <v>0</v>
      </c>
    </row>
    <row r="862" spans="1:47" ht="15" customHeight="1">
      <c r="A862" s="526"/>
      <c r="B862" s="540"/>
      <c r="C862" s="528"/>
      <c r="D862" s="556"/>
      <c r="E862" s="532"/>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552"/>
    </row>
    <row r="863" spans="1:47" ht="15" customHeight="1">
      <c r="A863" s="526"/>
      <c r="B863" s="540"/>
      <c r="C863" s="528"/>
      <c r="D863" s="556"/>
      <c r="E863" s="532"/>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526"/>
      <c r="B864" s="540"/>
      <c r="C864" s="528"/>
      <c r="D864" s="556"/>
      <c r="E864" s="532"/>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552">
        <f>SUM(H860:H871,K860:K871,N860:N871,Q860:Q871,T860:T871,W860:W871,Z860:Z871,AC860:AC871,AF860:AF871,AI860:AI871,AL860:AL871,AO860:AO871,AR860:AR871)</f>
        <v>0</v>
      </c>
    </row>
    <row r="865" spans="1:47" ht="15" customHeight="1">
      <c r="A865" s="526"/>
      <c r="B865" s="540"/>
      <c r="C865" s="528"/>
      <c r="D865" s="556"/>
      <c r="E865" s="532"/>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553"/>
    </row>
    <row r="866" spans="1:47" ht="15" customHeight="1">
      <c r="A866" s="526"/>
      <c r="B866" s="540"/>
      <c r="C866" s="528"/>
      <c r="D866" s="556"/>
      <c r="E866" s="532"/>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526"/>
      <c r="B867" s="540"/>
      <c r="C867" s="528"/>
      <c r="D867" s="556"/>
      <c r="E867" s="532"/>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552">
        <f>SUM(I860:I871,L860:L871,O860:O871,R860:R871,U860:U871,X860:X871,AA860:AA871,AD860:AD871,AG860:AG871,AJ860:AJ871,AM860:AM871,AP860:AP871,AS860:AS871)</f>
        <v>0</v>
      </c>
    </row>
    <row r="868" spans="1:47" ht="15" customHeight="1">
      <c r="A868" s="526"/>
      <c r="B868" s="540"/>
      <c r="C868" s="528"/>
      <c r="D868" s="556"/>
      <c r="E868" s="532"/>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552"/>
    </row>
    <row r="869" spans="1:47" ht="15" customHeight="1">
      <c r="A869" s="526"/>
      <c r="B869" s="540"/>
      <c r="C869" s="528"/>
      <c r="D869" s="556"/>
      <c r="E869" s="532"/>
      <c r="F869" s="91" t="s">
        <v>311</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526"/>
      <c r="B870" s="540"/>
      <c r="C870" s="528"/>
      <c r="D870" s="556"/>
      <c r="E870" s="532"/>
      <c r="F870" s="91" t="s">
        <v>312</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565" t="e">
        <f>AU867/AU861</f>
        <v>#DIV/0!</v>
      </c>
    </row>
    <row r="871" spans="1:47" ht="15" customHeight="1">
      <c r="A871" s="526"/>
      <c r="B871" s="540"/>
      <c r="C871" s="528"/>
      <c r="D871" s="556"/>
      <c r="E871" s="532"/>
      <c r="F871" s="91" t="s">
        <v>313</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565"/>
    </row>
    <row r="872" spans="1:47" ht="15" customHeight="1">
      <c r="A872" s="539" t="s">
        <v>22</v>
      </c>
      <c r="B872" s="525" t="s">
        <v>18</v>
      </c>
      <c r="C872" s="525" t="s">
        <v>19</v>
      </c>
      <c r="D872" s="525" t="s">
        <v>203</v>
      </c>
      <c r="E872" s="525" t="s">
        <v>21</v>
      </c>
      <c r="F872" s="543" t="s">
        <v>23</v>
      </c>
      <c r="G872" s="505" t="s">
        <v>24</v>
      </c>
      <c r="H872" s="495" t="s">
        <v>25</v>
      </c>
      <c r="I872" s="497" t="s">
        <v>26</v>
      </c>
      <c r="J872" s="505" t="s">
        <v>24</v>
      </c>
      <c r="K872" s="495" t="s">
        <v>25</v>
      </c>
      <c r="L872" s="497" t="s">
        <v>26</v>
      </c>
      <c r="M872" s="505" t="s">
        <v>24</v>
      </c>
      <c r="N872" s="495" t="s">
        <v>25</v>
      </c>
      <c r="O872" s="497" t="s">
        <v>26</v>
      </c>
      <c r="P872" s="505" t="s">
        <v>24</v>
      </c>
      <c r="Q872" s="495" t="s">
        <v>25</v>
      </c>
      <c r="R872" s="497" t="s">
        <v>26</v>
      </c>
      <c r="S872" s="505" t="s">
        <v>24</v>
      </c>
      <c r="T872" s="495" t="s">
        <v>25</v>
      </c>
      <c r="U872" s="497" t="s">
        <v>26</v>
      </c>
      <c r="V872" s="505" t="s">
        <v>24</v>
      </c>
      <c r="W872" s="495" t="s">
        <v>25</v>
      </c>
      <c r="X872" s="535" t="s">
        <v>26</v>
      </c>
      <c r="Y872" s="505" t="s">
        <v>24</v>
      </c>
      <c r="Z872" s="495" t="s">
        <v>25</v>
      </c>
      <c r="AA872" s="497" t="s">
        <v>26</v>
      </c>
      <c r="AB872" s="505" t="s">
        <v>24</v>
      </c>
      <c r="AC872" s="495" t="s">
        <v>25</v>
      </c>
      <c r="AD872" s="497" t="s">
        <v>26</v>
      </c>
      <c r="AE872" s="505" t="s">
        <v>24</v>
      </c>
      <c r="AF872" s="495" t="s">
        <v>25</v>
      </c>
      <c r="AG872" s="497" t="s">
        <v>26</v>
      </c>
      <c r="AH872" s="505" t="s">
        <v>24</v>
      </c>
      <c r="AI872" s="495" t="s">
        <v>25</v>
      </c>
      <c r="AJ872" s="497" t="s">
        <v>26</v>
      </c>
      <c r="AK872" s="505" t="s">
        <v>24</v>
      </c>
      <c r="AL872" s="495" t="s">
        <v>25</v>
      </c>
      <c r="AM872" s="497" t="s">
        <v>26</v>
      </c>
      <c r="AN872" s="505" t="s">
        <v>24</v>
      </c>
      <c r="AO872" s="495" t="s">
        <v>25</v>
      </c>
      <c r="AP872" s="497" t="s">
        <v>26</v>
      </c>
      <c r="AQ872" s="505" t="s">
        <v>24</v>
      </c>
      <c r="AR872" s="495" t="s">
        <v>25</v>
      </c>
      <c r="AS872" s="497" t="s">
        <v>26</v>
      </c>
      <c r="AT872" s="537" t="s">
        <v>24</v>
      </c>
      <c r="AU872" s="545" t="s">
        <v>27</v>
      </c>
    </row>
    <row r="873" spans="1:47" ht="15" customHeight="1">
      <c r="A873" s="539"/>
      <c r="B873" s="525"/>
      <c r="C873" s="525"/>
      <c r="D873" s="525"/>
      <c r="E873" s="525"/>
      <c r="F873" s="543"/>
      <c r="G873" s="505"/>
      <c r="H873" s="495"/>
      <c r="I873" s="497"/>
      <c r="J873" s="505"/>
      <c r="K873" s="495"/>
      <c r="L873" s="497"/>
      <c r="M873" s="505"/>
      <c r="N873" s="495"/>
      <c r="O873" s="497"/>
      <c r="P873" s="505"/>
      <c r="Q873" s="495"/>
      <c r="R873" s="497"/>
      <c r="S873" s="505"/>
      <c r="T873" s="495"/>
      <c r="U873" s="497"/>
      <c r="V873" s="505"/>
      <c r="W873" s="495"/>
      <c r="X873" s="535"/>
      <c r="Y873" s="505"/>
      <c r="Z873" s="495"/>
      <c r="AA873" s="497"/>
      <c r="AB873" s="505"/>
      <c r="AC873" s="495"/>
      <c r="AD873" s="497"/>
      <c r="AE873" s="505"/>
      <c r="AF873" s="495"/>
      <c r="AG873" s="497"/>
      <c r="AH873" s="505"/>
      <c r="AI873" s="495"/>
      <c r="AJ873" s="497"/>
      <c r="AK873" s="505"/>
      <c r="AL873" s="495"/>
      <c r="AM873" s="497"/>
      <c r="AN873" s="505"/>
      <c r="AO873" s="495"/>
      <c r="AP873" s="497"/>
      <c r="AQ873" s="505"/>
      <c r="AR873" s="495"/>
      <c r="AS873" s="497"/>
      <c r="AT873" s="537"/>
      <c r="AU873" s="545"/>
    </row>
    <row r="874" spans="1:47" ht="15" customHeight="1">
      <c r="A874" s="526" t="s">
        <v>245</v>
      </c>
      <c r="B874" s="540" t="s">
        <v>465</v>
      </c>
      <c r="C874" s="528">
        <v>2237</v>
      </c>
      <c r="D874" s="556" t="s">
        <v>466</v>
      </c>
      <c r="E874" s="532" t="s">
        <v>467</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526"/>
      <c r="B875" s="540"/>
      <c r="C875" s="528"/>
      <c r="D875" s="556"/>
      <c r="E875" s="532"/>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526"/>
      <c r="B876" s="540"/>
      <c r="C876" s="528"/>
      <c r="D876" s="556"/>
      <c r="E876" s="532"/>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526"/>
      <c r="B877" s="540"/>
      <c r="C877" s="528"/>
      <c r="D877" s="556"/>
      <c r="E877" s="532"/>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526"/>
      <c r="B878" s="540"/>
      <c r="C878" s="528"/>
      <c r="D878" s="556"/>
      <c r="E878" s="532"/>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526"/>
      <c r="B879" s="540"/>
      <c r="C879" s="528"/>
      <c r="D879" s="556"/>
      <c r="E879" s="532"/>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526"/>
      <c r="B880" s="540"/>
      <c r="C880" s="528"/>
      <c r="D880" s="556"/>
      <c r="E880" s="532"/>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526"/>
      <c r="B881" s="540"/>
      <c r="C881" s="528"/>
      <c r="D881" s="556"/>
      <c r="E881" s="532"/>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526"/>
      <c r="B882" s="540"/>
      <c r="C882" s="528"/>
      <c r="D882" s="556"/>
      <c r="E882" s="532"/>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539" t="s">
        <v>22</v>
      </c>
      <c r="B883" s="525" t="s">
        <v>18</v>
      </c>
      <c r="C883" s="525" t="s">
        <v>19</v>
      </c>
      <c r="D883" s="525" t="s">
        <v>203</v>
      </c>
      <c r="E883" s="525" t="s">
        <v>21</v>
      </c>
      <c r="F883" s="543" t="s">
        <v>23</v>
      </c>
      <c r="G883" s="505" t="s">
        <v>24</v>
      </c>
      <c r="H883" s="495" t="s">
        <v>25</v>
      </c>
      <c r="I883" s="497" t="s">
        <v>26</v>
      </c>
      <c r="J883" s="505" t="s">
        <v>24</v>
      </c>
      <c r="K883" s="495" t="s">
        <v>25</v>
      </c>
      <c r="L883" s="497" t="s">
        <v>26</v>
      </c>
      <c r="M883" s="505" t="s">
        <v>24</v>
      </c>
      <c r="N883" s="495" t="s">
        <v>25</v>
      </c>
      <c r="O883" s="497" t="s">
        <v>26</v>
      </c>
      <c r="P883" s="505" t="s">
        <v>24</v>
      </c>
      <c r="Q883" s="495" t="s">
        <v>25</v>
      </c>
      <c r="R883" s="497" t="s">
        <v>26</v>
      </c>
      <c r="S883" s="505" t="s">
        <v>24</v>
      </c>
      <c r="T883" s="495" t="s">
        <v>25</v>
      </c>
      <c r="U883" s="497" t="s">
        <v>26</v>
      </c>
      <c r="V883" s="505" t="s">
        <v>24</v>
      </c>
      <c r="W883" s="495" t="s">
        <v>25</v>
      </c>
      <c r="X883" s="535" t="s">
        <v>26</v>
      </c>
      <c r="Y883" s="505" t="s">
        <v>24</v>
      </c>
      <c r="Z883" s="495" t="s">
        <v>25</v>
      </c>
      <c r="AA883" s="497" t="s">
        <v>26</v>
      </c>
      <c r="AB883" s="505" t="s">
        <v>24</v>
      </c>
      <c r="AC883" s="495" t="s">
        <v>25</v>
      </c>
      <c r="AD883" s="497" t="s">
        <v>26</v>
      </c>
      <c r="AE883" s="505" t="s">
        <v>24</v>
      </c>
      <c r="AF883" s="495" t="s">
        <v>25</v>
      </c>
      <c r="AG883" s="497" t="s">
        <v>26</v>
      </c>
      <c r="AH883" s="505" t="s">
        <v>24</v>
      </c>
      <c r="AI883" s="495" t="s">
        <v>25</v>
      </c>
      <c r="AJ883" s="497" t="s">
        <v>26</v>
      </c>
      <c r="AK883" s="505" t="s">
        <v>24</v>
      </c>
      <c r="AL883" s="495" t="s">
        <v>25</v>
      </c>
      <c r="AM883" s="497" t="s">
        <v>26</v>
      </c>
      <c r="AN883" s="505" t="s">
        <v>24</v>
      </c>
      <c r="AO883" s="495" t="s">
        <v>25</v>
      </c>
      <c r="AP883" s="497" t="s">
        <v>26</v>
      </c>
      <c r="AQ883" s="505" t="s">
        <v>24</v>
      </c>
      <c r="AR883" s="495" t="s">
        <v>25</v>
      </c>
      <c r="AS883" s="497" t="s">
        <v>26</v>
      </c>
      <c r="AT883" s="537" t="s">
        <v>24</v>
      </c>
      <c r="AU883" s="545" t="s">
        <v>27</v>
      </c>
    </row>
    <row r="884" spans="1:47" ht="15" customHeight="1">
      <c r="A884" s="539"/>
      <c r="B884" s="525"/>
      <c r="C884" s="525"/>
      <c r="D884" s="525"/>
      <c r="E884" s="525"/>
      <c r="F884" s="543"/>
      <c r="G884" s="505"/>
      <c r="H884" s="495"/>
      <c r="I884" s="497"/>
      <c r="J884" s="505"/>
      <c r="K884" s="495"/>
      <c r="L884" s="497"/>
      <c r="M884" s="505"/>
      <c r="N884" s="495"/>
      <c r="O884" s="497"/>
      <c r="P884" s="505"/>
      <c r="Q884" s="495"/>
      <c r="R884" s="497"/>
      <c r="S884" s="505"/>
      <c r="T884" s="495"/>
      <c r="U884" s="497"/>
      <c r="V884" s="505"/>
      <c r="W884" s="495"/>
      <c r="X884" s="535"/>
      <c r="Y884" s="505"/>
      <c r="Z884" s="495"/>
      <c r="AA884" s="497"/>
      <c r="AB884" s="505"/>
      <c r="AC884" s="495"/>
      <c r="AD884" s="497"/>
      <c r="AE884" s="505"/>
      <c r="AF884" s="495"/>
      <c r="AG884" s="497"/>
      <c r="AH884" s="505"/>
      <c r="AI884" s="495"/>
      <c r="AJ884" s="497"/>
      <c r="AK884" s="505"/>
      <c r="AL884" s="495"/>
      <c r="AM884" s="497"/>
      <c r="AN884" s="505"/>
      <c r="AO884" s="495"/>
      <c r="AP884" s="497"/>
      <c r="AQ884" s="505"/>
      <c r="AR884" s="495"/>
      <c r="AS884" s="497"/>
      <c r="AT884" s="537"/>
      <c r="AU884" s="545"/>
    </row>
    <row r="885" spans="1:47" ht="15" customHeight="1">
      <c r="A885" s="526" t="s">
        <v>245</v>
      </c>
      <c r="B885" s="540" t="s">
        <v>468</v>
      </c>
      <c r="C885" s="528">
        <v>2065</v>
      </c>
      <c r="D885" s="556">
        <v>488</v>
      </c>
      <c r="E885" s="532" t="s">
        <v>469</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526"/>
      <c r="B886" s="540"/>
      <c r="C886" s="528"/>
      <c r="D886" s="556"/>
      <c r="E886" s="532"/>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526"/>
      <c r="B887" s="540"/>
      <c r="C887" s="528"/>
      <c r="D887" s="556"/>
      <c r="E887" s="532"/>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526"/>
      <c r="B888" s="540"/>
      <c r="C888" s="528"/>
      <c r="D888" s="556"/>
      <c r="E888" s="532"/>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526"/>
      <c r="B889" s="540"/>
      <c r="C889" s="528"/>
      <c r="D889" s="556"/>
      <c r="E889" s="532"/>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526"/>
      <c r="B890" s="540"/>
      <c r="C890" s="528"/>
      <c r="D890" s="556"/>
      <c r="E890" s="532"/>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526"/>
      <c r="B891" s="540"/>
      <c r="C891" s="528"/>
      <c r="D891" s="556"/>
      <c r="E891" s="532"/>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526"/>
      <c r="B892" s="540"/>
      <c r="C892" s="528"/>
      <c r="D892" s="556"/>
      <c r="E892" s="532"/>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473"/>
      <c r="B893" s="476"/>
      <c r="C893" s="479"/>
      <c r="D893" s="562"/>
      <c r="E893" s="485"/>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538" t="s">
        <v>22</v>
      </c>
      <c r="B894" s="524" t="s">
        <v>18</v>
      </c>
      <c r="C894" s="524" t="s">
        <v>19</v>
      </c>
      <c r="D894" s="524" t="s">
        <v>203</v>
      </c>
      <c r="E894" s="524" t="s">
        <v>21</v>
      </c>
      <c r="F894" s="542" t="s">
        <v>23</v>
      </c>
      <c r="G894" s="504" t="s">
        <v>24</v>
      </c>
      <c r="H894" s="494" t="s">
        <v>25</v>
      </c>
      <c r="I894" s="496" t="s">
        <v>26</v>
      </c>
      <c r="J894" s="504" t="s">
        <v>24</v>
      </c>
      <c r="K894" s="494" t="s">
        <v>25</v>
      </c>
      <c r="L894" s="496" t="s">
        <v>26</v>
      </c>
      <c r="M894" s="504" t="s">
        <v>24</v>
      </c>
      <c r="N894" s="494" t="s">
        <v>25</v>
      </c>
      <c r="O894" s="496" t="s">
        <v>26</v>
      </c>
      <c r="P894" s="504" t="s">
        <v>24</v>
      </c>
      <c r="Q894" s="494" t="s">
        <v>25</v>
      </c>
      <c r="R894" s="496" t="s">
        <v>26</v>
      </c>
      <c r="S894" s="504" t="s">
        <v>24</v>
      </c>
      <c r="T894" s="494" t="s">
        <v>25</v>
      </c>
      <c r="U894" s="496" t="s">
        <v>26</v>
      </c>
      <c r="V894" s="504" t="s">
        <v>24</v>
      </c>
      <c r="W894" s="494" t="s">
        <v>25</v>
      </c>
      <c r="X894" s="534" t="s">
        <v>26</v>
      </c>
      <c r="Y894" s="504" t="s">
        <v>24</v>
      </c>
      <c r="Z894" s="494" t="s">
        <v>25</v>
      </c>
      <c r="AA894" s="496" t="s">
        <v>26</v>
      </c>
      <c r="AB894" s="504" t="s">
        <v>24</v>
      </c>
      <c r="AC894" s="494" t="s">
        <v>25</v>
      </c>
      <c r="AD894" s="496" t="s">
        <v>26</v>
      </c>
      <c r="AE894" s="504" t="s">
        <v>24</v>
      </c>
      <c r="AF894" s="494" t="s">
        <v>25</v>
      </c>
      <c r="AG894" s="496" t="s">
        <v>26</v>
      </c>
      <c r="AH894" s="504" t="s">
        <v>24</v>
      </c>
      <c r="AI894" s="494" t="s">
        <v>25</v>
      </c>
      <c r="AJ894" s="496" t="s">
        <v>26</v>
      </c>
      <c r="AK894" s="504" t="s">
        <v>24</v>
      </c>
      <c r="AL894" s="494" t="s">
        <v>25</v>
      </c>
      <c r="AM894" s="496" t="s">
        <v>26</v>
      </c>
      <c r="AN894" s="504" t="s">
        <v>24</v>
      </c>
      <c r="AO894" s="494" t="s">
        <v>25</v>
      </c>
      <c r="AP894" s="496" t="s">
        <v>26</v>
      </c>
      <c r="AQ894" s="504" t="s">
        <v>24</v>
      </c>
      <c r="AR894" s="494" t="s">
        <v>25</v>
      </c>
      <c r="AS894" s="496" t="s">
        <v>26</v>
      </c>
      <c r="AT894" s="536" t="s">
        <v>24</v>
      </c>
      <c r="AU894" s="544" t="s">
        <v>27</v>
      </c>
    </row>
    <row r="895" spans="1:47" ht="15" customHeight="1">
      <c r="A895" s="539"/>
      <c r="B895" s="525"/>
      <c r="C895" s="525"/>
      <c r="D895" s="525"/>
      <c r="E895" s="525"/>
      <c r="F895" s="543"/>
      <c r="G895" s="505"/>
      <c r="H895" s="495"/>
      <c r="I895" s="497"/>
      <c r="J895" s="505"/>
      <c r="K895" s="495"/>
      <c r="L895" s="497"/>
      <c r="M895" s="505"/>
      <c r="N895" s="495"/>
      <c r="O895" s="497"/>
      <c r="P895" s="505"/>
      <c r="Q895" s="495"/>
      <c r="R895" s="497"/>
      <c r="S895" s="505"/>
      <c r="T895" s="495"/>
      <c r="U895" s="497"/>
      <c r="V895" s="505"/>
      <c r="W895" s="495"/>
      <c r="X895" s="535"/>
      <c r="Y895" s="505"/>
      <c r="Z895" s="495"/>
      <c r="AA895" s="497"/>
      <c r="AB895" s="505"/>
      <c r="AC895" s="495"/>
      <c r="AD895" s="497"/>
      <c r="AE895" s="505"/>
      <c r="AF895" s="495"/>
      <c r="AG895" s="497"/>
      <c r="AH895" s="505"/>
      <c r="AI895" s="495"/>
      <c r="AJ895" s="497"/>
      <c r="AK895" s="505"/>
      <c r="AL895" s="495"/>
      <c r="AM895" s="497"/>
      <c r="AN895" s="505"/>
      <c r="AO895" s="495"/>
      <c r="AP895" s="497"/>
      <c r="AQ895" s="505"/>
      <c r="AR895" s="495"/>
      <c r="AS895" s="497"/>
      <c r="AT895" s="537"/>
      <c r="AU895" s="545"/>
    </row>
    <row r="896" spans="1:47" ht="15" customHeight="1">
      <c r="A896" s="526" t="s">
        <v>247</v>
      </c>
      <c r="B896" s="540" t="s">
        <v>470</v>
      </c>
      <c r="C896" s="528">
        <v>1877</v>
      </c>
      <c r="D896" s="530" t="s">
        <v>471</v>
      </c>
      <c r="E896" s="532" t="s">
        <v>472</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526"/>
      <c r="B897" s="540"/>
      <c r="C897" s="528"/>
      <c r="D897" s="530"/>
      <c r="E897" s="532"/>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526"/>
      <c r="B898" s="540"/>
      <c r="C898" s="528"/>
      <c r="D898" s="530"/>
      <c r="E898" s="532"/>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526"/>
      <c r="B899" s="540"/>
      <c r="C899" s="528"/>
      <c r="D899" s="530"/>
      <c r="E899" s="532"/>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526"/>
      <c r="B900" s="540"/>
      <c r="C900" s="528"/>
      <c r="D900" s="530"/>
      <c r="E900" s="532"/>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3">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526"/>
      <c r="B901" s="540"/>
      <c r="C901" s="528"/>
      <c r="D901" s="530"/>
      <c r="E901" s="532"/>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526"/>
      <c r="B902" s="540"/>
      <c r="C902" s="528"/>
      <c r="D902" s="530"/>
      <c r="E902" s="532"/>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526"/>
      <c r="B903" s="540"/>
      <c r="C903" s="528"/>
      <c r="D903" s="530"/>
      <c r="E903" s="532"/>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527"/>
      <c r="B904" s="541"/>
      <c r="C904" s="529"/>
      <c r="D904" s="531"/>
      <c r="E904" s="533"/>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538" t="s">
        <v>22</v>
      </c>
      <c r="B905" s="524" t="s">
        <v>18</v>
      </c>
      <c r="C905" s="524" t="s">
        <v>19</v>
      </c>
      <c r="D905" s="524" t="s">
        <v>203</v>
      </c>
      <c r="E905" s="524" t="s">
        <v>21</v>
      </c>
      <c r="F905" s="542" t="s">
        <v>23</v>
      </c>
      <c r="G905" s="504" t="s">
        <v>24</v>
      </c>
      <c r="H905" s="494" t="s">
        <v>25</v>
      </c>
      <c r="I905" s="496" t="s">
        <v>26</v>
      </c>
      <c r="J905" s="504" t="s">
        <v>24</v>
      </c>
      <c r="K905" s="494" t="s">
        <v>25</v>
      </c>
      <c r="L905" s="496" t="s">
        <v>26</v>
      </c>
      <c r="M905" s="504" t="s">
        <v>24</v>
      </c>
      <c r="N905" s="494" t="s">
        <v>25</v>
      </c>
      <c r="O905" s="496" t="s">
        <v>26</v>
      </c>
      <c r="P905" s="504" t="s">
        <v>24</v>
      </c>
      <c r="Q905" s="494" t="s">
        <v>25</v>
      </c>
      <c r="R905" s="496" t="s">
        <v>26</v>
      </c>
      <c r="S905" s="504" t="s">
        <v>24</v>
      </c>
      <c r="T905" s="494" t="s">
        <v>25</v>
      </c>
      <c r="U905" s="496" t="s">
        <v>26</v>
      </c>
      <c r="V905" s="504" t="s">
        <v>24</v>
      </c>
      <c r="W905" s="494" t="s">
        <v>25</v>
      </c>
      <c r="X905" s="534" t="s">
        <v>26</v>
      </c>
      <c r="Y905" s="504" t="s">
        <v>24</v>
      </c>
      <c r="Z905" s="494" t="s">
        <v>25</v>
      </c>
      <c r="AA905" s="496" t="s">
        <v>26</v>
      </c>
      <c r="AB905" s="504" t="s">
        <v>24</v>
      </c>
      <c r="AC905" s="494" t="s">
        <v>25</v>
      </c>
      <c r="AD905" s="496" t="s">
        <v>26</v>
      </c>
      <c r="AE905" s="504" t="s">
        <v>24</v>
      </c>
      <c r="AF905" s="494" t="s">
        <v>25</v>
      </c>
      <c r="AG905" s="496" t="s">
        <v>26</v>
      </c>
      <c r="AH905" s="504" t="s">
        <v>24</v>
      </c>
      <c r="AI905" s="494" t="s">
        <v>25</v>
      </c>
      <c r="AJ905" s="496" t="s">
        <v>26</v>
      </c>
      <c r="AK905" s="504" t="s">
        <v>24</v>
      </c>
      <c r="AL905" s="494" t="s">
        <v>25</v>
      </c>
      <c r="AM905" s="496" t="s">
        <v>26</v>
      </c>
      <c r="AN905" s="504" t="s">
        <v>24</v>
      </c>
      <c r="AO905" s="494" t="s">
        <v>25</v>
      </c>
      <c r="AP905" s="496" t="s">
        <v>26</v>
      </c>
      <c r="AQ905" s="504" t="s">
        <v>24</v>
      </c>
      <c r="AR905" s="494" t="s">
        <v>25</v>
      </c>
      <c r="AS905" s="496" t="s">
        <v>26</v>
      </c>
      <c r="AT905" s="536" t="s">
        <v>24</v>
      </c>
      <c r="AU905" s="544" t="s">
        <v>27</v>
      </c>
    </row>
    <row r="906" spans="1:47" ht="15" customHeight="1">
      <c r="A906" s="539"/>
      <c r="B906" s="525"/>
      <c r="C906" s="525"/>
      <c r="D906" s="525"/>
      <c r="E906" s="525"/>
      <c r="F906" s="543"/>
      <c r="G906" s="505"/>
      <c r="H906" s="495"/>
      <c r="I906" s="497"/>
      <c r="J906" s="505"/>
      <c r="K906" s="495"/>
      <c r="L906" s="497"/>
      <c r="M906" s="505"/>
      <c r="N906" s="495"/>
      <c r="O906" s="497"/>
      <c r="P906" s="505"/>
      <c r="Q906" s="495"/>
      <c r="R906" s="497"/>
      <c r="S906" s="505"/>
      <c r="T906" s="495"/>
      <c r="U906" s="497"/>
      <c r="V906" s="505"/>
      <c r="W906" s="495"/>
      <c r="X906" s="535"/>
      <c r="Y906" s="505"/>
      <c r="Z906" s="495"/>
      <c r="AA906" s="497"/>
      <c r="AB906" s="505"/>
      <c r="AC906" s="495"/>
      <c r="AD906" s="497"/>
      <c r="AE906" s="505"/>
      <c r="AF906" s="495"/>
      <c r="AG906" s="497"/>
      <c r="AH906" s="505"/>
      <c r="AI906" s="495"/>
      <c r="AJ906" s="497"/>
      <c r="AK906" s="505"/>
      <c r="AL906" s="495"/>
      <c r="AM906" s="497"/>
      <c r="AN906" s="505"/>
      <c r="AO906" s="495"/>
      <c r="AP906" s="497"/>
      <c r="AQ906" s="505"/>
      <c r="AR906" s="495"/>
      <c r="AS906" s="497"/>
      <c r="AT906" s="537"/>
      <c r="AU906" s="545"/>
    </row>
    <row r="907" spans="1:47" ht="15" customHeight="1">
      <c r="A907" s="526" t="s">
        <v>247</v>
      </c>
      <c r="B907" s="540" t="s">
        <v>473</v>
      </c>
      <c r="C907" s="528">
        <v>2981</v>
      </c>
      <c r="D907" s="530" t="s">
        <v>474</v>
      </c>
      <c r="E907" s="532" t="s">
        <v>475</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526"/>
      <c r="B908" s="540"/>
      <c r="C908" s="528"/>
      <c r="D908" s="530"/>
      <c r="E908" s="532"/>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526"/>
      <c r="B909" s="540"/>
      <c r="C909" s="528"/>
      <c r="D909" s="530"/>
      <c r="E909" s="532"/>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526"/>
      <c r="B910" s="540"/>
      <c r="C910" s="528"/>
      <c r="D910" s="530"/>
      <c r="E910" s="532"/>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526"/>
      <c r="B911" s="540"/>
      <c r="C911" s="528"/>
      <c r="D911" s="530"/>
      <c r="E911" s="532"/>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526"/>
      <c r="B912" s="540"/>
      <c r="C912" s="528"/>
      <c r="D912" s="530"/>
      <c r="E912" s="532"/>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0">
        <v>500000</v>
      </c>
      <c r="AU912" s="78">
        <f>SUM(I907:I915,L907:L915,O907:O915,R907:R915,U907:U915,X907:X915,AA907:AA915,AD907:AD915,AG907:AG915,AJ907:AJ915,AM907:AM915,AP907:AP915,AS907:AS915)</f>
        <v>222000</v>
      </c>
    </row>
    <row r="913" spans="1:47">
      <c r="A913" s="526"/>
      <c r="B913" s="540"/>
      <c r="C913" s="528"/>
      <c r="D913" s="530"/>
      <c r="E913" s="532"/>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526"/>
      <c r="B914" s="540"/>
      <c r="C914" s="528"/>
      <c r="D914" s="530"/>
      <c r="E914" s="532"/>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527"/>
      <c r="B915" s="541"/>
      <c r="C915" s="529"/>
      <c r="D915" s="531"/>
      <c r="E915" s="533"/>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538" t="s">
        <v>22</v>
      </c>
      <c r="B916" s="524" t="s">
        <v>18</v>
      </c>
      <c r="C916" s="524" t="s">
        <v>19</v>
      </c>
      <c r="D916" s="524" t="s">
        <v>203</v>
      </c>
      <c r="E916" s="524" t="s">
        <v>21</v>
      </c>
      <c r="F916" s="542" t="s">
        <v>23</v>
      </c>
      <c r="G916" s="504" t="s">
        <v>24</v>
      </c>
      <c r="H916" s="494" t="s">
        <v>25</v>
      </c>
      <c r="I916" s="496" t="s">
        <v>26</v>
      </c>
      <c r="J916" s="504" t="s">
        <v>24</v>
      </c>
      <c r="K916" s="494" t="s">
        <v>25</v>
      </c>
      <c r="L916" s="496" t="s">
        <v>26</v>
      </c>
      <c r="M916" s="504" t="s">
        <v>24</v>
      </c>
      <c r="N916" s="494" t="s">
        <v>25</v>
      </c>
      <c r="O916" s="496" t="s">
        <v>26</v>
      </c>
      <c r="P916" s="504" t="s">
        <v>24</v>
      </c>
      <c r="Q916" s="494" t="s">
        <v>25</v>
      </c>
      <c r="R916" s="496" t="s">
        <v>26</v>
      </c>
      <c r="S916" s="504" t="s">
        <v>24</v>
      </c>
      <c r="T916" s="494" t="s">
        <v>25</v>
      </c>
      <c r="U916" s="496" t="s">
        <v>26</v>
      </c>
      <c r="V916" s="504" t="s">
        <v>24</v>
      </c>
      <c r="W916" s="494" t="s">
        <v>25</v>
      </c>
      <c r="X916" s="534" t="s">
        <v>26</v>
      </c>
      <c r="Y916" s="504" t="s">
        <v>24</v>
      </c>
      <c r="Z916" s="494" t="s">
        <v>25</v>
      </c>
      <c r="AA916" s="496" t="s">
        <v>26</v>
      </c>
      <c r="AB916" s="504" t="s">
        <v>24</v>
      </c>
      <c r="AC916" s="494" t="s">
        <v>25</v>
      </c>
      <c r="AD916" s="496" t="s">
        <v>26</v>
      </c>
      <c r="AE916" s="504" t="s">
        <v>24</v>
      </c>
      <c r="AF916" s="494" t="s">
        <v>25</v>
      </c>
      <c r="AG916" s="496" t="s">
        <v>26</v>
      </c>
      <c r="AH916" s="504" t="s">
        <v>24</v>
      </c>
      <c r="AI916" s="494" t="s">
        <v>25</v>
      </c>
      <c r="AJ916" s="496" t="s">
        <v>26</v>
      </c>
      <c r="AK916" s="504" t="s">
        <v>24</v>
      </c>
      <c r="AL916" s="494" t="s">
        <v>25</v>
      </c>
      <c r="AM916" s="496" t="s">
        <v>26</v>
      </c>
      <c r="AN916" s="504" t="s">
        <v>24</v>
      </c>
      <c r="AO916" s="494" t="s">
        <v>25</v>
      </c>
      <c r="AP916" s="496" t="s">
        <v>26</v>
      </c>
      <c r="AQ916" s="504" t="s">
        <v>24</v>
      </c>
      <c r="AR916" s="494" t="s">
        <v>25</v>
      </c>
      <c r="AS916" s="496" t="s">
        <v>26</v>
      </c>
      <c r="AT916" s="536" t="s">
        <v>24</v>
      </c>
      <c r="AU916" s="544" t="s">
        <v>27</v>
      </c>
    </row>
    <row r="917" spans="1:47" ht="15" customHeight="1">
      <c r="A917" s="539"/>
      <c r="B917" s="525"/>
      <c r="C917" s="525"/>
      <c r="D917" s="525"/>
      <c r="E917" s="525"/>
      <c r="F917" s="543"/>
      <c r="G917" s="505"/>
      <c r="H917" s="495"/>
      <c r="I917" s="497"/>
      <c r="J917" s="505"/>
      <c r="K917" s="495"/>
      <c r="L917" s="497"/>
      <c r="M917" s="505"/>
      <c r="N917" s="495"/>
      <c r="O917" s="497"/>
      <c r="P917" s="505"/>
      <c r="Q917" s="495"/>
      <c r="R917" s="497"/>
      <c r="S917" s="505"/>
      <c r="T917" s="495"/>
      <c r="U917" s="497"/>
      <c r="V917" s="505"/>
      <c r="W917" s="495"/>
      <c r="X917" s="535"/>
      <c r="Y917" s="505"/>
      <c r="Z917" s="495"/>
      <c r="AA917" s="497"/>
      <c r="AB917" s="505"/>
      <c r="AC917" s="495"/>
      <c r="AD917" s="497"/>
      <c r="AE917" s="505"/>
      <c r="AF917" s="495"/>
      <c r="AG917" s="497"/>
      <c r="AH917" s="505"/>
      <c r="AI917" s="495"/>
      <c r="AJ917" s="497"/>
      <c r="AK917" s="505"/>
      <c r="AL917" s="495"/>
      <c r="AM917" s="497"/>
      <c r="AN917" s="505"/>
      <c r="AO917" s="495"/>
      <c r="AP917" s="497"/>
      <c r="AQ917" s="505"/>
      <c r="AR917" s="495"/>
      <c r="AS917" s="497"/>
      <c r="AT917" s="537"/>
      <c r="AU917" s="545"/>
    </row>
    <row r="918" spans="1:47" ht="15" customHeight="1">
      <c r="A918" s="526" t="s">
        <v>247</v>
      </c>
      <c r="B918" s="540" t="s">
        <v>476</v>
      </c>
      <c r="C918" s="528">
        <v>321</v>
      </c>
      <c r="D918" s="530" t="s">
        <v>477</v>
      </c>
      <c r="E918" s="532" t="s">
        <v>478</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526"/>
      <c r="B919" s="540"/>
      <c r="C919" s="528"/>
      <c r="D919" s="530"/>
      <c r="E919" s="532"/>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526"/>
      <c r="B920" s="540"/>
      <c r="C920" s="528"/>
      <c r="D920" s="530"/>
      <c r="E920" s="532"/>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526"/>
      <c r="B921" s="540"/>
      <c r="C921" s="528"/>
      <c r="D921" s="530"/>
      <c r="E921" s="532"/>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526"/>
      <c r="B922" s="540"/>
      <c r="C922" s="528"/>
      <c r="D922" s="530"/>
      <c r="E922" s="532"/>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168">
        <v>2088000</v>
      </c>
      <c r="AI922" s="169">
        <f t="shared" si="1089"/>
        <v>2088000</v>
      </c>
      <c r="AJ922" s="170"/>
      <c r="AK922" s="103"/>
      <c r="AL922" s="75">
        <f t="shared" si="1090"/>
        <v>0</v>
      </c>
      <c r="AM922" s="104"/>
      <c r="AN922" s="103"/>
      <c r="AO922" s="75">
        <f t="shared" si="1091"/>
        <v>0</v>
      </c>
      <c r="AP922" s="104"/>
      <c r="AQ922" s="103"/>
      <c r="AR922" s="75">
        <f t="shared" si="1092"/>
        <v>0</v>
      </c>
      <c r="AS922" s="104"/>
      <c r="AT922" s="98"/>
      <c r="AU922" s="79" t="s">
        <v>38</v>
      </c>
    </row>
    <row r="923" spans="1:47">
      <c r="A923" s="526"/>
      <c r="B923" s="540"/>
      <c r="C923" s="528"/>
      <c r="D923" s="530"/>
      <c r="E923" s="532"/>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168">
        <v>22625000</v>
      </c>
      <c r="AI923" s="169">
        <f t="shared" si="1089"/>
        <v>22625000</v>
      </c>
      <c r="AJ923" s="170"/>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526"/>
      <c r="B924" s="540"/>
      <c r="C924" s="528"/>
      <c r="D924" s="530"/>
      <c r="E924" s="532"/>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526"/>
      <c r="B925" s="540"/>
      <c r="C925" s="528"/>
      <c r="D925" s="530"/>
      <c r="E925" s="532"/>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527"/>
      <c r="B926" s="541"/>
      <c r="C926" s="529"/>
      <c r="D926" s="531"/>
      <c r="E926" s="533"/>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489" t="s">
        <v>22</v>
      </c>
      <c r="B927" s="491" t="s">
        <v>18</v>
      </c>
      <c r="C927" s="491" t="s">
        <v>19</v>
      </c>
      <c r="D927" s="491" t="s">
        <v>203</v>
      </c>
      <c r="E927" s="491" t="s">
        <v>21</v>
      </c>
      <c r="F927" s="550" t="s">
        <v>23</v>
      </c>
      <c r="G927" s="466" t="s">
        <v>24</v>
      </c>
      <c r="H927" s="468" t="s">
        <v>25</v>
      </c>
      <c r="I927" s="470" t="s">
        <v>26</v>
      </c>
      <c r="J927" s="466" t="s">
        <v>24</v>
      </c>
      <c r="K927" s="468" t="s">
        <v>25</v>
      </c>
      <c r="L927" s="470" t="s">
        <v>26</v>
      </c>
      <c r="M927" s="466" t="s">
        <v>24</v>
      </c>
      <c r="N927" s="468" t="s">
        <v>25</v>
      </c>
      <c r="O927" s="470" t="s">
        <v>26</v>
      </c>
      <c r="P927" s="466" t="s">
        <v>24</v>
      </c>
      <c r="Q927" s="468" t="s">
        <v>25</v>
      </c>
      <c r="R927" s="470" t="s">
        <v>26</v>
      </c>
      <c r="S927" s="466" t="s">
        <v>24</v>
      </c>
      <c r="T927" s="468" t="s">
        <v>25</v>
      </c>
      <c r="U927" s="470" t="s">
        <v>26</v>
      </c>
      <c r="V927" s="466" t="s">
        <v>24</v>
      </c>
      <c r="W927" s="468" t="s">
        <v>25</v>
      </c>
      <c r="X927" s="551" t="s">
        <v>26</v>
      </c>
      <c r="Y927" s="466" t="s">
        <v>24</v>
      </c>
      <c r="Z927" s="468" t="s">
        <v>25</v>
      </c>
      <c r="AA927" s="470" t="s">
        <v>26</v>
      </c>
      <c r="AB927" s="466" t="s">
        <v>24</v>
      </c>
      <c r="AC927" s="468" t="s">
        <v>25</v>
      </c>
      <c r="AD927" s="470" t="s">
        <v>26</v>
      </c>
      <c r="AE927" s="466" t="s">
        <v>24</v>
      </c>
      <c r="AF927" s="468" t="s">
        <v>25</v>
      </c>
      <c r="AG927" s="470" t="s">
        <v>26</v>
      </c>
      <c r="AH927" s="466" t="s">
        <v>24</v>
      </c>
      <c r="AI927" s="468" t="s">
        <v>25</v>
      </c>
      <c r="AJ927" s="470" t="s">
        <v>26</v>
      </c>
      <c r="AK927" s="466" t="s">
        <v>24</v>
      </c>
      <c r="AL927" s="468" t="s">
        <v>25</v>
      </c>
      <c r="AM927" s="470" t="s">
        <v>26</v>
      </c>
      <c r="AN927" s="466" t="s">
        <v>24</v>
      </c>
      <c r="AO927" s="468" t="s">
        <v>25</v>
      </c>
      <c r="AP927" s="470" t="s">
        <v>26</v>
      </c>
      <c r="AQ927" s="466" t="s">
        <v>24</v>
      </c>
      <c r="AR927" s="468" t="s">
        <v>25</v>
      </c>
      <c r="AS927" s="470" t="s">
        <v>26</v>
      </c>
      <c r="AT927" s="555" t="s">
        <v>24</v>
      </c>
      <c r="AU927" s="472" t="s">
        <v>27</v>
      </c>
    </row>
    <row r="928" spans="1:47" ht="15" customHeight="1">
      <c r="A928" s="539"/>
      <c r="B928" s="525"/>
      <c r="C928" s="525"/>
      <c r="D928" s="525"/>
      <c r="E928" s="525"/>
      <c r="F928" s="543"/>
      <c r="G928" s="505"/>
      <c r="H928" s="495"/>
      <c r="I928" s="497"/>
      <c r="J928" s="505"/>
      <c r="K928" s="495"/>
      <c r="L928" s="497"/>
      <c r="M928" s="505"/>
      <c r="N928" s="495"/>
      <c r="O928" s="497"/>
      <c r="P928" s="505"/>
      <c r="Q928" s="495"/>
      <c r="R928" s="497"/>
      <c r="S928" s="505"/>
      <c r="T928" s="495"/>
      <c r="U928" s="497"/>
      <c r="V928" s="505"/>
      <c r="W928" s="495"/>
      <c r="X928" s="535"/>
      <c r="Y928" s="505"/>
      <c r="Z928" s="495"/>
      <c r="AA928" s="497"/>
      <c r="AB928" s="505"/>
      <c r="AC928" s="495"/>
      <c r="AD928" s="497"/>
      <c r="AE928" s="505"/>
      <c r="AF928" s="495"/>
      <c r="AG928" s="497"/>
      <c r="AH928" s="505"/>
      <c r="AI928" s="495"/>
      <c r="AJ928" s="497"/>
      <c r="AK928" s="505"/>
      <c r="AL928" s="495"/>
      <c r="AM928" s="497"/>
      <c r="AN928" s="505"/>
      <c r="AO928" s="495"/>
      <c r="AP928" s="497"/>
      <c r="AQ928" s="505"/>
      <c r="AR928" s="495"/>
      <c r="AS928" s="497"/>
      <c r="AT928" s="537"/>
      <c r="AU928" s="545"/>
    </row>
    <row r="929" spans="1:47" ht="15" customHeight="1">
      <c r="A929" s="526" t="s">
        <v>327</v>
      </c>
      <c r="B929" s="540" t="s">
        <v>479</v>
      </c>
      <c r="C929" s="528">
        <v>2211</v>
      </c>
      <c r="D929" s="556" t="s">
        <v>480</v>
      </c>
      <c r="E929" s="532" t="s">
        <v>481</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526"/>
      <c r="B930" s="540"/>
      <c r="C930" s="528"/>
      <c r="D930" s="556"/>
      <c r="E930" s="532"/>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526"/>
      <c r="B931" s="540"/>
      <c r="C931" s="528"/>
      <c r="D931" s="556"/>
      <c r="E931" s="532"/>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526"/>
      <c r="B932" s="540"/>
      <c r="C932" s="528"/>
      <c r="D932" s="556"/>
      <c r="E932" s="532"/>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526"/>
      <c r="B933" s="540"/>
      <c r="C933" s="528"/>
      <c r="D933" s="556"/>
      <c r="E933" s="532"/>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526"/>
      <c r="B934" s="540"/>
      <c r="C934" s="528"/>
      <c r="D934" s="556"/>
      <c r="E934" s="532"/>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526"/>
      <c r="B935" s="540"/>
      <c r="C935" s="528"/>
      <c r="D935" s="556"/>
      <c r="E935" s="532"/>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526"/>
      <c r="B936" s="540"/>
      <c r="C936" s="528"/>
      <c r="D936" s="556"/>
      <c r="E936" s="532"/>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473"/>
      <c r="B937" s="476"/>
      <c r="C937" s="479"/>
      <c r="D937" s="562"/>
      <c r="E937" s="485"/>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538" t="s">
        <v>22</v>
      </c>
      <c r="B938" s="524" t="s">
        <v>18</v>
      </c>
      <c r="C938" s="524" t="s">
        <v>19</v>
      </c>
      <c r="D938" s="524" t="s">
        <v>203</v>
      </c>
      <c r="E938" s="524" t="s">
        <v>21</v>
      </c>
      <c r="F938" s="542" t="s">
        <v>23</v>
      </c>
      <c r="G938" s="504" t="s">
        <v>24</v>
      </c>
      <c r="H938" s="494" t="s">
        <v>25</v>
      </c>
      <c r="I938" s="496" t="s">
        <v>26</v>
      </c>
      <c r="J938" s="504" t="s">
        <v>24</v>
      </c>
      <c r="K938" s="494" t="s">
        <v>25</v>
      </c>
      <c r="L938" s="496" t="s">
        <v>26</v>
      </c>
      <c r="M938" s="504" t="s">
        <v>24</v>
      </c>
      <c r="N938" s="494" t="s">
        <v>25</v>
      </c>
      <c r="O938" s="496" t="s">
        <v>26</v>
      </c>
      <c r="P938" s="504" t="s">
        <v>24</v>
      </c>
      <c r="Q938" s="494" t="s">
        <v>25</v>
      </c>
      <c r="R938" s="496" t="s">
        <v>26</v>
      </c>
      <c r="S938" s="504" t="s">
        <v>24</v>
      </c>
      <c r="T938" s="494" t="s">
        <v>25</v>
      </c>
      <c r="U938" s="496" t="s">
        <v>26</v>
      </c>
      <c r="V938" s="504" t="s">
        <v>24</v>
      </c>
      <c r="W938" s="494" t="s">
        <v>25</v>
      </c>
      <c r="X938" s="534" t="s">
        <v>26</v>
      </c>
      <c r="Y938" s="504" t="s">
        <v>24</v>
      </c>
      <c r="Z938" s="494" t="s">
        <v>25</v>
      </c>
      <c r="AA938" s="496" t="s">
        <v>26</v>
      </c>
      <c r="AB938" s="504" t="s">
        <v>24</v>
      </c>
      <c r="AC938" s="494" t="s">
        <v>25</v>
      </c>
      <c r="AD938" s="496" t="s">
        <v>26</v>
      </c>
      <c r="AE938" s="504" t="s">
        <v>24</v>
      </c>
      <c r="AF938" s="494" t="s">
        <v>25</v>
      </c>
      <c r="AG938" s="496" t="s">
        <v>26</v>
      </c>
      <c r="AH938" s="504" t="s">
        <v>24</v>
      </c>
      <c r="AI938" s="494" t="s">
        <v>25</v>
      </c>
      <c r="AJ938" s="496" t="s">
        <v>26</v>
      </c>
      <c r="AK938" s="504" t="s">
        <v>24</v>
      </c>
      <c r="AL938" s="494" t="s">
        <v>25</v>
      </c>
      <c r="AM938" s="496" t="s">
        <v>26</v>
      </c>
      <c r="AN938" s="504" t="s">
        <v>24</v>
      </c>
      <c r="AO938" s="494" t="s">
        <v>25</v>
      </c>
      <c r="AP938" s="496" t="s">
        <v>26</v>
      </c>
      <c r="AQ938" s="504" t="s">
        <v>24</v>
      </c>
      <c r="AR938" s="494" t="s">
        <v>25</v>
      </c>
      <c r="AS938" s="496" t="s">
        <v>26</v>
      </c>
      <c r="AT938" s="536" t="s">
        <v>24</v>
      </c>
      <c r="AU938" s="544" t="s">
        <v>27</v>
      </c>
    </row>
    <row r="939" spans="1:47" ht="15" customHeight="1">
      <c r="A939" s="539"/>
      <c r="B939" s="525"/>
      <c r="C939" s="525"/>
      <c r="D939" s="525"/>
      <c r="E939" s="525"/>
      <c r="F939" s="543"/>
      <c r="G939" s="505"/>
      <c r="H939" s="495"/>
      <c r="I939" s="497"/>
      <c r="J939" s="505"/>
      <c r="K939" s="495"/>
      <c r="L939" s="497"/>
      <c r="M939" s="505"/>
      <c r="N939" s="495"/>
      <c r="O939" s="497"/>
      <c r="P939" s="505"/>
      <c r="Q939" s="495"/>
      <c r="R939" s="497"/>
      <c r="S939" s="505"/>
      <c r="T939" s="495"/>
      <c r="U939" s="497"/>
      <c r="V939" s="505"/>
      <c r="W939" s="495"/>
      <c r="X939" s="535"/>
      <c r="Y939" s="505"/>
      <c r="Z939" s="495"/>
      <c r="AA939" s="497"/>
      <c r="AB939" s="505"/>
      <c r="AC939" s="495"/>
      <c r="AD939" s="497"/>
      <c r="AE939" s="505"/>
      <c r="AF939" s="495"/>
      <c r="AG939" s="497"/>
      <c r="AH939" s="505"/>
      <c r="AI939" s="495"/>
      <c r="AJ939" s="497"/>
      <c r="AK939" s="505"/>
      <c r="AL939" s="495"/>
      <c r="AM939" s="497"/>
      <c r="AN939" s="505"/>
      <c r="AO939" s="495"/>
      <c r="AP939" s="497"/>
      <c r="AQ939" s="505"/>
      <c r="AR939" s="495"/>
      <c r="AS939" s="497"/>
      <c r="AT939" s="537"/>
      <c r="AU939" s="545"/>
    </row>
    <row r="940" spans="1:47" ht="15" customHeight="1">
      <c r="A940" s="526" t="s">
        <v>247</v>
      </c>
      <c r="B940" s="540" t="s">
        <v>482</v>
      </c>
      <c r="C940" s="528">
        <v>1606</v>
      </c>
      <c r="D940" s="556" t="s">
        <v>483</v>
      </c>
      <c r="E940" s="532" t="s">
        <v>484</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526"/>
      <c r="B941" s="540"/>
      <c r="C941" s="528"/>
      <c r="D941" s="556"/>
      <c r="E941" s="532"/>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526"/>
      <c r="B942" s="540"/>
      <c r="C942" s="528"/>
      <c r="D942" s="556"/>
      <c r="E942" s="532"/>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526"/>
      <c r="B943" s="540"/>
      <c r="C943" s="528"/>
      <c r="D943" s="556"/>
      <c r="E943" s="532"/>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526"/>
      <c r="B944" s="540"/>
      <c r="C944" s="528"/>
      <c r="D944" s="556"/>
      <c r="E944" s="532"/>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526"/>
      <c r="B945" s="540"/>
      <c r="C945" s="528"/>
      <c r="D945" s="556"/>
      <c r="E945" s="532"/>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526"/>
      <c r="B946" s="540"/>
      <c r="C946" s="528"/>
      <c r="D946" s="556"/>
      <c r="E946" s="532"/>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526"/>
      <c r="B947" s="540"/>
      <c r="C947" s="528"/>
      <c r="D947" s="556"/>
      <c r="E947" s="532"/>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527"/>
      <c r="B948" s="541"/>
      <c r="C948" s="529"/>
      <c r="D948" s="559"/>
      <c r="E948" s="533"/>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538" t="s">
        <v>22</v>
      </c>
      <c r="B949" s="524" t="s">
        <v>18</v>
      </c>
      <c r="C949" s="524" t="s">
        <v>19</v>
      </c>
      <c r="D949" s="524" t="s">
        <v>203</v>
      </c>
      <c r="E949" s="524" t="s">
        <v>21</v>
      </c>
      <c r="F949" s="542" t="s">
        <v>23</v>
      </c>
      <c r="G949" s="504" t="s">
        <v>24</v>
      </c>
      <c r="H949" s="494" t="s">
        <v>25</v>
      </c>
      <c r="I949" s="496" t="s">
        <v>26</v>
      </c>
      <c r="J949" s="504" t="s">
        <v>24</v>
      </c>
      <c r="K949" s="494" t="s">
        <v>25</v>
      </c>
      <c r="L949" s="496" t="s">
        <v>26</v>
      </c>
      <c r="M949" s="504" t="s">
        <v>24</v>
      </c>
      <c r="N949" s="494" t="s">
        <v>25</v>
      </c>
      <c r="O949" s="496" t="s">
        <v>26</v>
      </c>
      <c r="P949" s="504" t="s">
        <v>24</v>
      </c>
      <c r="Q949" s="494" t="s">
        <v>25</v>
      </c>
      <c r="R949" s="496" t="s">
        <v>26</v>
      </c>
      <c r="S949" s="504" t="s">
        <v>24</v>
      </c>
      <c r="T949" s="494" t="s">
        <v>25</v>
      </c>
      <c r="U949" s="496" t="s">
        <v>26</v>
      </c>
      <c r="V949" s="504" t="s">
        <v>24</v>
      </c>
      <c r="W949" s="494" t="s">
        <v>25</v>
      </c>
      <c r="X949" s="534" t="s">
        <v>26</v>
      </c>
      <c r="Y949" s="504" t="s">
        <v>24</v>
      </c>
      <c r="Z949" s="494" t="s">
        <v>25</v>
      </c>
      <c r="AA949" s="496" t="s">
        <v>26</v>
      </c>
      <c r="AB949" s="504" t="s">
        <v>24</v>
      </c>
      <c r="AC949" s="494" t="s">
        <v>25</v>
      </c>
      <c r="AD949" s="496" t="s">
        <v>26</v>
      </c>
      <c r="AE949" s="504" t="s">
        <v>24</v>
      </c>
      <c r="AF949" s="494" t="s">
        <v>25</v>
      </c>
      <c r="AG949" s="496" t="s">
        <v>26</v>
      </c>
      <c r="AH949" s="504" t="s">
        <v>24</v>
      </c>
      <c r="AI949" s="494" t="s">
        <v>25</v>
      </c>
      <c r="AJ949" s="496" t="s">
        <v>26</v>
      </c>
      <c r="AK949" s="504" t="s">
        <v>24</v>
      </c>
      <c r="AL949" s="494" t="s">
        <v>25</v>
      </c>
      <c r="AM949" s="496" t="s">
        <v>26</v>
      </c>
      <c r="AN949" s="504" t="s">
        <v>24</v>
      </c>
      <c r="AO949" s="494" t="s">
        <v>25</v>
      </c>
      <c r="AP949" s="496" t="s">
        <v>26</v>
      </c>
      <c r="AQ949" s="504" t="s">
        <v>24</v>
      </c>
      <c r="AR949" s="494" t="s">
        <v>25</v>
      </c>
      <c r="AS949" s="496" t="s">
        <v>26</v>
      </c>
      <c r="AT949" s="536" t="s">
        <v>24</v>
      </c>
      <c r="AU949" s="544" t="s">
        <v>27</v>
      </c>
    </row>
    <row r="950" spans="1:47" ht="15" customHeight="1">
      <c r="A950" s="539"/>
      <c r="B950" s="525"/>
      <c r="C950" s="525"/>
      <c r="D950" s="525"/>
      <c r="E950" s="525"/>
      <c r="F950" s="543"/>
      <c r="G950" s="505"/>
      <c r="H950" s="495"/>
      <c r="I950" s="497"/>
      <c r="J950" s="505"/>
      <c r="K950" s="495"/>
      <c r="L950" s="497"/>
      <c r="M950" s="505"/>
      <c r="N950" s="495"/>
      <c r="O950" s="497"/>
      <c r="P950" s="505"/>
      <c r="Q950" s="495"/>
      <c r="R950" s="497"/>
      <c r="S950" s="505"/>
      <c r="T950" s="495"/>
      <c r="U950" s="497"/>
      <c r="V950" s="505"/>
      <c r="W950" s="495"/>
      <c r="X950" s="535"/>
      <c r="Y950" s="505"/>
      <c r="Z950" s="495"/>
      <c r="AA950" s="497"/>
      <c r="AB950" s="505"/>
      <c r="AC950" s="495"/>
      <c r="AD950" s="497"/>
      <c r="AE950" s="505"/>
      <c r="AF950" s="495"/>
      <c r="AG950" s="497"/>
      <c r="AH950" s="505"/>
      <c r="AI950" s="495"/>
      <c r="AJ950" s="497"/>
      <c r="AK950" s="505"/>
      <c r="AL950" s="495"/>
      <c r="AM950" s="497"/>
      <c r="AN950" s="505"/>
      <c r="AO950" s="495"/>
      <c r="AP950" s="497"/>
      <c r="AQ950" s="505"/>
      <c r="AR950" s="495"/>
      <c r="AS950" s="497"/>
      <c r="AT950" s="537"/>
      <c r="AU950" s="545"/>
    </row>
    <row r="951" spans="1:47" ht="15" customHeight="1">
      <c r="A951" s="526" t="s">
        <v>247</v>
      </c>
      <c r="B951" s="540" t="s">
        <v>485</v>
      </c>
      <c r="C951" s="528">
        <v>2175</v>
      </c>
      <c r="D951" s="530" t="s">
        <v>486</v>
      </c>
      <c r="E951" s="532" t="s">
        <v>487</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526"/>
      <c r="B952" s="540"/>
      <c r="C952" s="528"/>
      <c r="D952" s="530"/>
      <c r="E952" s="532"/>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526"/>
      <c r="B953" s="540"/>
      <c r="C953" s="528"/>
      <c r="D953" s="530"/>
      <c r="E953" s="532"/>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526"/>
      <c r="B954" s="540"/>
      <c r="C954" s="528"/>
      <c r="D954" s="530"/>
      <c r="E954" s="532"/>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526"/>
      <c r="B955" s="540"/>
      <c r="C955" s="528"/>
      <c r="D955" s="530"/>
      <c r="E955" s="532"/>
      <c r="F955" s="91" t="s">
        <v>488</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8"/>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526"/>
      <c r="B956" s="540"/>
      <c r="C956" s="528"/>
      <c r="D956" s="530"/>
      <c r="E956" s="532"/>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526"/>
      <c r="B957" s="540"/>
      <c r="C957" s="528"/>
      <c r="D957" s="530"/>
      <c r="E957" s="532"/>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526"/>
      <c r="B958" s="540"/>
      <c r="C958" s="528"/>
      <c r="D958" s="530"/>
      <c r="E958" s="532"/>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526"/>
      <c r="B959" s="540"/>
      <c r="C959" s="528"/>
      <c r="D959" s="530"/>
      <c r="E959" s="532"/>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527"/>
      <c r="B960" s="541"/>
      <c r="C960" s="529"/>
      <c r="D960" s="531"/>
      <c r="E960" s="533"/>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489" t="s">
        <v>22</v>
      </c>
      <c r="B961" s="491" t="s">
        <v>18</v>
      </c>
      <c r="C961" s="491" t="s">
        <v>19</v>
      </c>
      <c r="D961" s="491" t="s">
        <v>203</v>
      </c>
      <c r="E961" s="491" t="s">
        <v>21</v>
      </c>
      <c r="F961" s="550" t="s">
        <v>23</v>
      </c>
      <c r="G961" s="466" t="s">
        <v>24</v>
      </c>
      <c r="H961" s="468" t="s">
        <v>25</v>
      </c>
      <c r="I961" s="470" t="s">
        <v>26</v>
      </c>
      <c r="J961" s="466" t="s">
        <v>24</v>
      </c>
      <c r="K961" s="468" t="s">
        <v>25</v>
      </c>
      <c r="L961" s="470" t="s">
        <v>26</v>
      </c>
      <c r="M961" s="466" t="s">
        <v>24</v>
      </c>
      <c r="N961" s="468" t="s">
        <v>25</v>
      </c>
      <c r="O961" s="470" t="s">
        <v>26</v>
      </c>
      <c r="P961" s="466" t="s">
        <v>24</v>
      </c>
      <c r="Q961" s="468" t="s">
        <v>25</v>
      </c>
      <c r="R961" s="470" t="s">
        <v>26</v>
      </c>
      <c r="S961" s="466" t="s">
        <v>24</v>
      </c>
      <c r="T961" s="468" t="s">
        <v>25</v>
      </c>
      <c r="U961" s="470" t="s">
        <v>26</v>
      </c>
      <c r="V961" s="466" t="s">
        <v>24</v>
      </c>
      <c r="W961" s="468" t="s">
        <v>25</v>
      </c>
      <c r="X961" s="551" t="s">
        <v>26</v>
      </c>
      <c r="Y961" s="466" t="s">
        <v>24</v>
      </c>
      <c r="Z961" s="468" t="s">
        <v>25</v>
      </c>
      <c r="AA961" s="470" t="s">
        <v>26</v>
      </c>
      <c r="AB961" s="466" t="s">
        <v>24</v>
      </c>
      <c r="AC961" s="468" t="s">
        <v>25</v>
      </c>
      <c r="AD961" s="470" t="s">
        <v>26</v>
      </c>
      <c r="AE961" s="466" t="s">
        <v>24</v>
      </c>
      <c r="AF961" s="468" t="s">
        <v>25</v>
      </c>
      <c r="AG961" s="470" t="s">
        <v>26</v>
      </c>
      <c r="AH961" s="466" t="s">
        <v>24</v>
      </c>
      <c r="AI961" s="468" t="s">
        <v>25</v>
      </c>
      <c r="AJ961" s="470" t="s">
        <v>26</v>
      </c>
      <c r="AK961" s="466" t="s">
        <v>24</v>
      </c>
      <c r="AL961" s="468" t="s">
        <v>25</v>
      </c>
      <c r="AM961" s="470" t="s">
        <v>26</v>
      </c>
      <c r="AN961" s="466" t="s">
        <v>24</v>
      </c>
      <c r="AO961" s="468" t="s">
        <v>25</v>
      </c>
      <c r="AP961" s="470" t="s">
        <v>26</v>
      </c>
      <c r="AQ961" s="466" t="s">
        <v>24</v>
      </c>
      <c r="AR961" s="468" t="s">
        <v>25</v>
      </c>
      <c r="AS961" s="470" t="s">
        <v>26</v>
      </c>
      <c r="AT961" s="555" t="s">
        <v>24</v>
      </c>
      <c r="AU961" s="472" t="s">
        <v>27</v>
      </c>
    </row>
    <row r="962" spans="1:47" ht="15" customHeight="1">
      <c r="A962" s="539"/>
      <c r="B962" s="525"/>
      <c r="C962" s="525"/>
      <c r="D962" s="525"/>
      <c r="E962" s="525"/>
      <c r="F962" s="543"/>
      <c r="G962" s="505"/>
      <c r="H962" s="495"/>
      <c r="I962" s="497"/>
      <c r="J962" s="505"/>
      <c r="K962" s="495"/>
      <c r="L962" s="497"/>
      <c r="M962" s="505"/>
      <c r="N962" s="495"/>
      <c r="O962" s="497"/>
      <c r="P962" s="505"/>
      <c r="Q962" s="495"/>
      <c r="R962" s="497"/>
      <c r="S962" s="505"/>
      <c r="T962" s="495"/>
      <c r="U962" s="497"/>
      <c r="V962" s="505"/>
      <c r="W962" s="495"/>
      <c r="X962" s="535"/>
      <c r="Y962" s="505"/>
      <c r="Z962" s="495"/>
      <c r="AA962" s="497"/>
      <c r="AB962" s="505"/>
      <c r="AC962" s="495"/>
      <c r="AD962" s="497"/>
      <c r="AE962" s="505"/>
      <c r="AF962" s="495"/>
      <c r="AG962" s="497"/>
      <c r="AH962" s="505"/>
      <c r="AI962" s="495"/>
      <c r="AJ962" s="497"/>
      <c r="AK962" s="505"/>
      <c r="AL962" s="495"/>
      <c r="AM962" s="497"/>
      <c r="AN962" s="505"/>
      <c r="AO962" s="495"/>
      <c r="AP962" s="497"/>
      <c r="AQ962" s="505"/>
      <c r="AR962" s="495"/>
      <c r="AS962" s="497"/>
      <c r="AT962" s="537"/>
      <c r="AU962" s="545"/>
    </row>
    <row r="963" spans="1:47" ht="15" customHeight="1">
      <c r="A963" s="526" t="s">
        <v>204</v>
      </c>
      <c r="B963" s="540" t="s">
        <v>489</v>
      </c>
      <c r="C963" s="528">
        <v>1273</v>
      </c>
      <c r="D963" s="556">
        <v>506</v>
      </c>
      <c r="E963" s="532" t="s">
        <v>490</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526"/>
      <c r="B964" s="540"/>
      <c r="C964" s="528"/>
      <c r="D964" s="556"/>
      <c r="E964" s="532"/>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552">
        <f>SUM(G963:G974,J963:J974,M963:M974,P963:P974,S963:S974,AT963:AT974,V963:V974,Y963:Y974,AB963:AB974,AE963:AE974,AH963:AH974,AK963:AK974,AN963:AN974,AQ963:AQ974)</f>
        <v>0</v>
      </c>
    </row>
    <row r="965" spans="1:47" ht="14.45" customHeight="1">
      <c r="A965" s="526"/>
      <c r="B965" s="540"/>
      <c r="C965" s="528"/>
      <c r="D965" s="556"/>
      <c r="E965" s="532"/>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552"/>
    </row>
    <row r="966" spans="1:47" ht="14.45" customHeight="1">
      <c r="A966" s="526"/>
      <c r="B966" s="540"/>
      <c r="C966" s="528"/>
      <c r="D966" s="556"/>
      <c r="E966" s="532"/>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526"/>
      <c r="B967" s="540"/>
      <c r="C967" s="528"/>
      <c r="D967" s="556"/>
      <c r="E967" s="532"/>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552">
        <f>SUM(H963:H974,K963:K974,N963:N974,Q963:Q974,T963:T974,W963:W974,Z963:Z974,AC963:AC974,AF963:AF974,AI963:AI974,AL963:AL974,AO963:AO974,AR963:AR974)</f>
        <v>0</v>
      </c>
    </row>
    <row r="968" spans="1:47" ht="14.45" customHeight="1">
      <c r="A968" s="526"/>
      <c r="B968" s="540"/>
      <c r="C968" s="528"/>
      <c r="D968" s="556"/>
      <c r="E968" s="532"/>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552"/>
    </row>
    <row r="969" spans="1:47" ht="14.45" customHeight="1">
      <c r="A969" s="526"/>
      <c r="B969" s="540"/>
      <c r="C969" s="528"/>
      <c r="D969" s="556"/>
      <c r="E969" s="532"/>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526"/>
      <c r="B970" s="540"/>
      <c r="C970" s="528"/>
      <c r="D970" s="556"/>
      <c r="E970" s="532"/>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552">
        <f>SUM(I963:I974,L963:L974,O963:O974,R963:R974,U963:U974,X963:X974,AA963:AA974,AD963:AD974,AG963:AG974,AJ963:AJ974,AM963:AM974,AP963:AP974,AS963:AS974)</f>
        <v>0</v>
      </c>
    </row>
    <row r="971" spans="1:47" ht="14.45" customHeight="1">
      <c r="A971" s="526"/>
      <c r="B971" s="540"/>
      <c r="C971" s="528"/>
      <c r="D971" s="556"/>
      <c r="E971" s="532"/>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552"/>
    </row>
    <row r="972" spans="1:47" ht="14.45" customHeight="1">
      <c r="A972" s="526"/>
      <c r="B972" s="540"/>
      <c r="C972" s="528"/>
      <c r="D972" s="556"/>
      <c r="E972" s="532"/>
      <c r="F972" s="91" t="s">
        <v>311</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526"/>
      <c r="B973" s="540"/>
      <c r="C973" s="528"/>
      <c r="D973" s="556"/>
      <c r="E973" s="532"/>
      <c r="F973" s="91" t="s">
        <v>312</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554" t="e">
        <f>AU970/AU964</f>
        <v>#DIV/0!</v>
      </c>
    </row>
    <row r="974" spans="1:47" ht="15" customHeight="1">
      <c r="A974" s="526"/>
      <c r="B974" s="540"/>
      <c r="C974" s="528"/>
      <c r="D974" s="556"/>
      <c r="E974" s="532"/>
      <c r="F974" s="91" t="s">
        <v>313</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554"/>
    </row>
    <row r="975" spans="1:47" ht="15" customHeight="1">
      <c r="A975" s="539" t="s">
        <v>22</v>
      </c>
      <c r="B975" s="525" t="s">
        <v>18</v>
      </c>
      <c r="C975" s="525" t="s">
        <v>19</v>
      </c>
      <c r="D975" s="525" t="s">
        <v>203</v>
      </c>
      <c r="E975" s="525" t="s">
        <v>21</v>
      </c>
      <c r="F975" s="543" t="s">
        <v>23</v>
      </c>
      <c r="G975" s="505" t="s">
        <v>24</v>
      </c>
      <c r="H975" s="495" t="s">
        <v>25</v>
      </c>
      <c r="I975" s="497" t="s">
        <v>26</v>
      </c>
      <c r="J975" s="505" t="s">
        <v>24</v>
      </c>
      <c r="K975" s="495" t="s">
        <v>25</v>
      </c>
      <c r="L975" s="497" t="s">
        <v>26</v>
      </c>
      <c r="M975" s="505" t="s">
        <v>24</v>
      </c>
      <c r="N975" s="495" t="s">
        <v>25</v>
      </c>
      <c r="O975" s="497" t="s">
        <v>26</v>
      </c>
      <c r="P975" s="505" t="s">
        <v>24</v>
      </c>
      <c r="Q975" s="495" t="s">
        <v>25</v>
      </c>
      <c r="R975" s="497" t="s">
        <v>26</v>
      </c>
      <c r="S975" s="505" t="s">
        <v>24</v>
      </c>
      <c r="T975" s="495" t="s">
        <v>25</v>
      </c>
      <c r="U975" s="497" t="s">
        <v>26</v>
      </c>
      <c r="V975" s="505" t="s">
        <v>24</v>
      </c>
      <c r="W975" s="495" t="s">
        <v>25</v>
      </c>
      <c r="X975" s="535" t="s">
        <v>26</v>
      </c>
      <c r="Y975" s="505" t="s">
        <v>24</v>
      </c>
      <c r="Z975" s="495" t="s">
        <v>25</v>
      </c>
      <c r="AA975" s="497" t="s">
        <v>26</v>
      </c>
      <c r="AB975" s="505" t="s">
        <v>24</v>
      </c>
      <c r="AC975" s="495" t="s">
        <v>25</v>
      </c>
      <c r="AD975" s="497" t="s">
        <v>26</v>
      </c>
      <c r="AE975" s="505" t="s">
        <v>24</v>
      </c>
      <c r="AF975" s="495" t="s">
        <v>25</v>
      </c>
      <c r="AG975" s="497" t="s">
        <v>26</v>
      </c>
      <c r="AH975" s="505" t="s">
        <v>24</v>
      </c>
      <c r="AI975" s="495" t="s">
        <v>25</v>
      </c>
      <c r="AJ975" s="497" t="s">
        <v>26</v>
      </c>
      <c r="AK975" s="505" t="s">
        <v>24</v>
      </c>
      <c r="AL975" s="495" t="s">
        <v>25</v>
      </c>
      <c r="AM975" s="497" t="s">
        <v>26</v>
      </c>
      <c r="AN975" s="505" t="s">
        <v>24</v>
      </c>
      <c r="AO975" s="495" t="s">
        <v>25</v>
      </c>
      <c r="AP975" s="497" t="s">
        <v>26</v>
      </c>
      <c r="AQ975" s="505" t="s">
        <v>24</v>
      </c>
      <c r="AR975" s="495" t="s">
        <v>25</v>
      </c>
      <c r="AS975" s="497" t="s">
        <v>26</v>
      </c>
      <c r="AT975" s="537" t="s">
        <v>24</v>
      </c>
      <c r="AU975" s="545" t="s">
        <v>27</v>
      </c>
    </row>
    <row r="976" spans="1:47" ht="15" customHeight="1">
      <c r="A976" s="539"/>
      <c r="B976" s="525"/>
      <c r="C976" s="525"/>
      <c r="D976" s="525"/>
      <c r="E976" s="525"/>
      <c r="F976" s="543"/>
      <c r="G976" s="505"/>
      <c r="H976" s="495"/>
      <c r="I976" s="497"/>
      <c r="J976" s="505"/>
      <c r="K976" s="495"/>
      <c r="L976" s="497"/>
      <c r="M976" s="505"/>
      <c r="N976" s="495"/>
      <c r="O976" s="497"/>
      <c r="P976" s="505"/>
      <c r="Q976" s="495"/>
      <c r="R976" s="497"/>
      <c r="S976" s="505"/>
      <c r="T976" s="495"/>
      <c r="U976" s="497"/>
      <c r="V976" s="505"/>
      <c r="W976" s="495"/>
      <c r="X976" s="535"/>
      <c r="Y976" s="505"/>
      <c r="Z976" s="495"/>
      <c r="AA976" s="497"/>
      <c r="AB976" s="505"/>
      <c r="AC976" s="495"/>
      <c r="AD976" s="497"/>
      <c r="AE976" s="505"/>
      <c r="AF976" s="495"/>
      <c r="AG976" s="497"/>
      <c r="AH976" s="505"/>
      <c r="AI976" s="495"/>
      <c r="AJ976" s="497"/>
      <c r="AK976" s="505"/>
      <c r="AL976" s="495"/>
      <c r="AM976" s="497"/>
      <c r="AN976" s="505"/>
      <c r="AO976" s="495"/>
      <c r="AP976" s="497"/>
      <c r="AQ976" s="505"/>
      <c r="AR976" s="495"/>
      <c r="AS976" s="497"/>
      <c r="AT976" s="537"/>
      <c r="AU976" s="545"/>
    </row>
    <row r="977" spans="1:47" ht="15" customHeight="1">
      <c r="A977" s="526" t="s">
        <v>228</v>
      </c>
      <c r="B977" s="540" t="s">
        <v>491</v>
      </c>
      <c r="C977" s="528">
        <v>2540</v>
      </c>
      <c r="D977" s="556" t="s">
        <v>492</v>
      </c>
      <c r="E977" s="532" t="s">
        <v>493</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526"/>
      <c r="B978" s="540"/>
      <c r="C978" s="528"/>
      <c r="D978" s="556"/>
      <c r="E978" s="532"/>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552">
        <f>SUM(G977:G988,J977:J988,M977:M988,P977:P988,S977:S988,AT977:AT988,V977:V988,Y977:Y988,AB977:AB988,AE977:AE988,AH977:AH988,AK977:AK988,AN977:AN988,AQ977:AQ988)</f>
        <v>400000</v>
      </c>
    </row>
    <row r="979" spans="1:47" ht="14.45" customHeight="1">
      <c r="A979" s="526"/>
      <c r="B979" s="540"/>
      <c r="C979" s="528"/>
      <c r="D979" s="556"/>
      <c r="E979" s="532"/>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552"/>
    </row>
    <row r="980" spans="1:47" ht="14.45" customHeight="1">
      <c r="A980" s="526"/>
      <c r="B980" s="540"/>
      <c r="C980" s="528"/>
      <c r="D980" s="556"/>
      <c r="E980" s="532"/>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526"/>
      <c r="B981" s="540"/>
      <c r="C981" s="528"/>
      <c r="D981" s="556"/>
      <c r="E981" s="532"/>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552">
        <f>SUM(H977:H988,K977:K988,N977:N988,Q977:Q988,T977:T988,W977:W988,Z977:Z988,AC977:AC988,AF977:AF988,AI977:AI988,AL977:AL988,AO977:AO988,AR977:AR988)</f>
        <v>400000</v>
      </c>
    </row>
    <row r="982" spans="1:47" ht="14.45" customHeight="1">
      <c r="A982" s="526"/>
      <c r="B982" s="540"/>
      <c r="C982" s="528"/>
      <c r="D982" s="556"/>
      <c r="E982" s="532"/>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552"/>
    </row>
    <row r="983" spans="1:47" ht="14.45" customHeight="1">
      <c r="A983" s="526"/>
      <c r="B983" s="540"/>
      <c r="C983" s="528"/>
      <c r="D983" s="556"/>
      <c r="E983" s="532"/>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526"/>
      <c r="B984" s="540"/>
      <c r="C984" s="528"/>
      <c r="D984" s="556"/>
      <c r="E984" s="532"/>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552">
        <f>SUM(I977:I988,L977:L988,O977:O988,R977:R988,U977:U988,X977:X988,AA977:AA988,AD977:AD988,AG977:AG988,AJ977:AJ988,AM977:AM988,AP977:AP988,AS977:AS988)</f>
        <v>0</v>
      </c>
    </row>
    <row r="985" spans="1:47" ht="14.45" customHeight="1">
      <c r="A985" s="526"/>
      <c r="B985" s="540"/>
      <c r="C985" s="528"/>
      <c r="D985" s="556"/>
      <c r="E985" s="532"/>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552"/>
    </row>
    <row r="986" spans="1:47" ht="14.45" customHeight="1">
      <c r="A986" s="526"/>
      <c r="B986" s="540"/>
      <c r="C986" s="528"/>
      <c r="D986" s="556"/>
      <c r="E986" s="532"/>
      <c r="F986" s="91" t="s">
        <v>311</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526"/>
      <c r="B987" s="540"/>
      <c r="C987" s="528"/>
      <c r="D987" s="556"/>
      <c r="E987" s="532"/>
      <c r="F987" s="91" t="s">
        <v>312</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565">
        <f>AU984/AU978</f>
        <v>0</v>
      </c>
    </row>
    <row r="988" spans="1:47" ht="15" customHeight="1">
      <c r="A988" s="526"/>
      <c r="B988" s="540"/>
      <c r="C988" s="528"/>
      <c r="D988" s="556"/>
      <c r="E988" s="532"/>
      <c r="F988" s="91" t="s">
        <v>313</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565"/>
    </row>
    <row r="989" spans="1:47" ht="15" customHeight="1">
      <c r="A989" s="539" t="s">
        <v>22</v>
      </c>
      <c r="B989" s="525" t="s">
        <v>18</v>
      </c>
      <c r="C989" s="525" t="s">
        <v>19</v>
      </c>
      <c r="D989" s="525" t="s">
        <v>203</v>
      </c>
      <c r="E989" s="525" t="s">
        <v>21</v>
      </c>
      <c r="F989" s="543" t="s">
        <v>23</v>
      </c>
      <c r="G989" s="505" t="s">
        <v>24</v>
      </c>
      <c r="H989" s="495" t="s">
        <v>25</v>
      </c>
      <c r="I989" s="497" t="s">
        <v>26</v>
      </c>
      <c r="J989" s="505" t="s">
        <v>24</v>
      </c>
      <c r="K989" s="495" t="s">
        <v>25</v>
      </c>
      <c r="L989" s="497" t="s">
        <v>26</v>
      </c>
      <c r="M989" s="505" t="s">
        <v>24</v>
      </c>
      <c r="N989" s="495" t="s">
        <v>25</v>
      </c>
      <c r="O989" s="497" t="s">
        <v>26</v>
      </c>
      <c r="P989" s="505" t="s">
        <v>24</v>
      </c>
      <c r="Q989" s="495" t="s">
        <v>25</v>
      </c>
      <c r="R989" s="497" t="s">
        <v>26</v>
      </c>
      <c r="S989" s="505" t="s">
        <v>24</v>
      </c>
      <c r="T989" s="495" t="s">
        <v>25</v>
      </c>
      <c r="U989" s="497" t="s">
        <v>26</v>
      </c>
      <c r="V989" s="505" t="s">
        <v>24</v>
      </c>
      <c r="W989" s="495" t="s">
        <v>25</v>
      </c>
      <c r="X989" s="535" t="s">
        <v>26</v>
      </c>
      <c r="Y989" s="505" t="s">
        <v>24</v>
      </c>
      <c r="Z989" s="495" t="s">
        <v>25</v>
      </c>
      <c r="AA989" s="497" t="s">
        <v>26</v>
      </c>
      <c r="AB989" s="505" t="s">
        <v>24</v>
      </c>
      <c r="AC989" s="495" t="s">
        <v>25</v>
      </c>
      <c r="AD989" s="497" t="s">
        <v>26</v>
      </c>
      <c r="AE989" s="505" t="s">
        <v>24</v>
      </c>
      <c r="AF989" s="495" t="s">
        <v>25</v>
      </c>
      <c r="AG989" s="497" t="s">
        <v>26</v>
      </c>
      <c r="AH989" s="505" t="s">
        <v>24</v>
      </c>
      <c r="AI989" s="495" t="s">
        <v>25</v>
      </c>
      <c r="AJ989" s="497" t="s">
        <v>26</v>
      </c>
      <c r="AK989" s="505" t="s">
        <v>24</v>
      </c>
      <c r="AL989" s="495" t="s">
        <v>25</v>
      </c>
      <c r="AM989" s="497" t="s">
        <v>26</v>
      </c>
      <c r="AN989" s="505" t="s">
        <v>24</v>
      </c>
      <c r="AO989" s="495" t="s">
        <v>25</v>
      </c>
      <c r="AP989" s="497" t="s">
        <v>26</v>
      </c>
      <c r="AQ989" s="505" t="s">
        <v>24</v>
      </c>
      <c r="AR989" s="495" t="s">
        <v>25</v>
      </c>
      <c r="AS989" s="497" t="s">
        <v>26</v>
      </c>
      <c r="AT989" s="537" t="s">
        <v>24</v>
      </c>
      <c r="AU989" s="545" t="s">
        <v>27</v>
      </c>
    </row>
    <row r="990" spans="1:47" ht="15" customHeight="1">
      <c r="A990" s="539"/>
      <c r="B990" s="525"/>
      <c r="C990" s="525"/>
      <c r="D990" s="525"/>
      <c r="E990" s="525"/>
      <c r="F990" s="543"/>
      <c r="G990" s="505"/>
      <c r="H990" s="495"/>
      <c r="I990" s="497"/>
      <c r="J990" s="505"/>
      <c r="K990" s="495"/>
      <c r="L990" s="497"/>
      <c r="M990" s="505"/>
      <c r="N990" s="495"/>
      <c r="O990" s="497"/>
      <c r="P990" s="505"/>
      <c r="Q990" s="495"/>
      <c r="R990" s="497"/>
      <c r="S990" s="505"/>
      <c r="T990" s="495"/>
      <c r="U990" s="497"/>
      <c r="V990" s="505"/>
      <c r="W990" s="495"/>
      <c r="X990" s="535"/>
      <c r="Y990" s="505"/>
      <c r="Z990" s="495"/>
      <c r="AA990" s="497"/>
      <c r="AB990" s="505"/>
      <c r="AC990" s="495"/>
      <c r="AD990" s="497"/>
      <c r="AE990" s="505"/>
      <c r="AF990" s="495"/>
      <c r="AG990" s="497"/>
      <c r="AH990" s="505"/>
      <c r="AI990" s="495"/>
      <c r="AJ990" s="497"/>
      <c r="AK990" s="505"/>
      <c r="AL990" s="495"/>
      <c r="AM990" s="497"/>
      <c r="AN990" s="505"/>
      <c r="AO990" s="495"/>
      <c r="AP990" s="497"/>
      <c r="AQ990" s="505"/>
      <c r="AR990" s="495"/>
      <c r="AS990" s="497"/>
      <c r="AT990" s="537"/>
      <c r="AU990" s="545"/>
    </row>
    <row r="991" spans="1:47" ht="15" customHeight="1">
      <c r="A991" s="526" t="s">
        <v>245</v>
      </c>
      <c r="B991" s="540" t="s">
        <v>494</v>
      </c>
      <c r="C991" s="528">
        <v>2216</v>
      </c>
      <c r="D991" s="530" t="s">
        <v>495</v>
      </c>
      <c r="E991" s="532" t="s">
        <v>496</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526"/>
      <c r="B992" s="540"/>
      <c r="C992" s="528"/>
      <c r="D992" s="530"/>
      <c r="E992" s="532"/>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526"/>
      <c r="B993" s="540"/>
      <c r="C993" s="528"/>
      <c r="D993" s="530"/>
      <c r="E993" s="532"/>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526"/>
      <c r="B994" s="540"/>
      <c r="C994" s="528"/>
      <c r="D994" s="530"/>
      <c r="E994" s="532"/>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526"/>
      <c r="B995" s="540"/>
      <c r="C995" s="528"/>
      <c r="D995" s="530"/>
      <c r="E995" s="532"/>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526"/>
      <c r="B996" s="540"/>
      <c r="C996" s="528"/>
      <c r="D996" s="530"/>
      <c r="E996" s="532"/>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526"/>
      <c r="B997" s="540"/>
      <c r="C997" s="528"/>
      <c r="D997" s="530"/>
      <c r="E997" s="532"/>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526"/>
      <c r="B998" s="540"/>
      <c r="C998" s="528"/>
      <c r="D998" s="530"/>
      <c r="E998" s="532"/>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473"/>
      <c r="B999" s="476"/>
      <c r="C999" s="479"/>
      <c r="D999" s="482"/>
      <c r="E999" s="485"/>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538" t="s">
        <v>22</v>
      </c>
      <c r="B1000" s="524" t="s">
        <v>18</v>
      </c>
      <c r="C1000" s="524" t="s">
        <v>19</v>
      </c>
      <c r="D1000" s="524" t="s">
        <v>203</v>
      </c>
      <c r="E1000" s="524" t="s">
        <v>21</v>
      </c>
      <c r="F1000" s="542" t="s">
        <v>23</v>
      </c>
      <c r="G1000" s="504" t="s">
        <v>24</v>
      </c>
      <c r="H1000" s="494" t="s">
        <v>25</v>
      </c>
      <c r="I1000" s="496" t="s">
        <v>26</v>
      </c>
      <c r="J1000" s="504" t="s">
        <v>24</v>
      </c>
      <c r="K1000" s="494" t="s">
        <v>25</v>
      </c>
      <c r="L1000" s="496" t="s">
        <v>26</v>
      </c>
      <c r="M1000" s="504" t="s">
        <v>24</v>
      </c>
      <c r="N1000" s="494" t="s">
        <v>25</v>
      </c>
      <c r="O1000" s="496" t="s">
        <v>26</v>
      </c>
      <c r="P1000" s="504" t="s">
        <v>24</v>
      </c>
      <c r="Q1000" s="494" t="s">
        <v>25</v>
      </c>
      <c r="R1000" s="496" t="s">
        <v>26</v>
      </c>
      <c r="S1000" s="504" t="s">
        <v>24</v>
      </c>
      <c r="T1000" s="494" t="s">
        <v>25</v>
      </c>
      <c r="U1000" s="496" t="s">
        <v>26</v>
      </c>
      <c r="V1000" s="504" t="s">
        <v>24</v>
      </c>
      <c r="W1000" s="494" t="s">
        <v>25</v>
      </c>
      <c r="X1000" s="534" t="s">
        <v>26</v>
      </c>
      <c r="Y1000" s="504" t="s">
        <v>24</v>
      </c>
      <c r="Z1000" s="494" t="s">
        <v>25</v>
      </c>
      <c r="AA1000" s="496" t="s">
        <v>26</v>
      </c>
      <c r="AB1000" s="504" t="s">
        <v>24</v>
      </c>
      <c r="AC1000" s="494" t="s">
        <v>25</v>
      </c>
      <c r="AD1000" s="496" t="s">
        <v>26</v>
      </c>
      <c r="AE1000" s="504" t="s">
        <v>24</v>
      </c>
      <c r="AF1000" s="494" t="s">
        <v>25</v>
      </c>
      <c r="AG1000" s="496" t="s">
        <v>26</v>
      </c>
      <c r="AH1000" s="504" t="s">
        <v>24</v>
      </c>
      <c r="AI1000" s="494" t="s">
        <v>25</v>
      </c>
      <c r="AJ1000" s="496" t="s">
        <v>26</v>
      </c>
      <c r="AK1000" s="504" t="s">
        <v>24</v>
      </c>
      <c r="AL1000" s="494" t="s">
        <v>25</v>
      </c>
      <c r="AM1000" s="496" t="s">
        <v>26</v>
      </c>
      <c r="AN1000" s="504" t="s">
        <v>24</v>
      </c>
      <c r="AO1000" s="494" t="s">
        <v>25</v>
      </c>
      <c r="AP1000" s="496" t="s">
        <v>26</v>
      </c>
      <c r="AQ1000" s="504" t="s">
        <v>24</v>
      </c>
      <c r="AR1000" s="494" t="s">
        <v>25</v>
      </c>
      <c r="AS1000" s="496" t="s">
        <v>26</v>
      </c>
      <c r="AT1000" s="536" t="s">
        <v>24</v>
      </c>
      <c r="AU1000" s="544" t="s">
        <v>27</v>
      </c>
    </row>
    <row r="1001" spans="1:47" ht="15" customHeight="1">
      <c r="A1001" s="539"/>
      <c r="B1001" s="525"/>
      <c r="C1001" s="525"/>
      <c r="D1001" s="525"/>
      <c r="E1001" s="525"/>
      <c r="F1001" s="543"/>
      <c r="G1001" s="505"/>
      <c r="H1001" s="495"/>
      <c r="I1001" s="497"/>
      <c r="J1001" s="505"/>
      <c r="K1001" s="495"/>
      <c r="L1001" s="497"/>
      <c r="M1001" s="505"/>
      <c r="N1001" s="495"/>
      <c r="O1001" s="497"/>
      <c r="P1001" s="505"/>
      <c r="Q1001" s="495"/>
      <c r="R1001" s="497"/>
      <c r="S1001" s="505"/>
      <c r="T1001" s="495"/>
      <c r="U1001" s="497"/>
      <c r="V1001" s="505"/>
      <c r="W1001" s="495"/>
      <c r="X1001" s="535"/>
      <c r="Y1001" s="505"/>
      <c r="Z1001" s="495"/>
      <c r="AA1001" s="497"/>
      <c r="AB1001" s="505"/>
      <c r="AC1001" s="495"/>
      <c r="AD1001" s="497"/>
      <c r="AE1001" s="505"/>
      <c r="AF1001" s="495"/>
      <c r="AG1001" s="497"/>
      <c r="AH1001" s="505"/>
      <c r="AI1001" s="495"/>
      <c r="AJ1001" s="497"/>
      <c r="AK1001" s="505"/>
      <c r="AL1001" s="495"/>
      <c r="AM1001" s="497"/>
      <c r="AN1001" s="505"/>
      <c r="AO1001" s="495"/>
      <c r="AP1001" s="497"/>
      <c r="AQ1001" s="505"/>
      <c r="AR1001" s="495"/>
      <c r="AS1001" s="497"/>
      <c r="AT1001" s="537"/>
      <c r="AU1001" s="545"/>
    </row>
    <row r="1002" spans="1:47" ht="15" customHeight="1">
      <c r="A1002" s="526" t="s">
        <v>247</v>
      </c>
      <c r="B1002" s="540" t="s">
        <v>497</v>
      </c>
      <c r="C1002" s="528">
        <v>2236</v>
      </c>
      <c r="D1002" s="556" t="s">
        <v>498</v>
      </c>
      <c r="E1002" s="532" t="s">
        <v>499</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526"/>
      <c r="B1003" s="540"/>
      <c r="C1003" s="528"/>
      <c r="D1003" s="556"/>
      <c r="E1003" s="532"/>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526"/>
      <c r="B1004" s="540"/>
      <c r="C1004" s="528"/>
      <c r="D1004" s="556"/>
      <c r="E1004" s="532"/>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526"/>
      <c r="B1005" s="540"/>
      <c r="C1005" s="528"/>
      <c r="D1005" s="556"/>
      <c r="E1005" s="532"/>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526"/>
      <c r="B1006" s="540"/>
      <c r="C1006" s="528"/>
      <c r="D1006" s="556"/>
      <c r="E1006" s="532"/>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526"/>
      <c r="B1007" s="540"/>
      <c r="C1007" s="528"/>
      <c r="D1007" s="556"/>
      <c r="E1007" s="532"/>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526"/>
      <c r="B1008" s="540"/>
      <c r="C1008" s="528"/>
      <c r="D1008" s="556"/>
      <c r="E1008" s="532"/>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526"/>
      <c r="B1009" s="540"/>
      <c r="C1009" s="528"/>
      <c r="D1009" s="556"/>
      <c r="E1009" s="532"/>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527"/>
      <c r="B1010" s="541"/>
      <c r="C1010" s="529"/>
      <c r="D1010" s="559"/>
      <c r="E1010" s="533"/>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489" t="s">
        <v>22</v>
      </c>
      <c r="B1011" s="491" t="s">
        <v>18</v>
      </c>
      <c r="C1011" s="491" t="s">
        <v>19</v>
      </c>
      <c r="D1011" s="491" t="s">
        <v>203</v>
      </c>
      <c r="E1011" s="491" t="s">
        <v>21</v>
      </c>
      <c r="F1011" s="550" t="s">
        <v>23</v>
      </c>
      <c r="G1011" s="466" t="s">
        <v>24</v>
      </c>
      <c r="H1011" s="468" t="s">
        <v>25</v>
      </c>
      <c r="I1011" s="470" t="s">
        <v>26</v>
      </c>
      <c r="J1011" s="466" t="s">
        <v>24</v>
      </c>
      <c r="K1011" s="468" t="s">
        <v>25</v>
      </c>
      <c r="L1011" s="470" t="s">
        <v>26</v>
      </c>
      <c r="M1011" s="466" t="s">
        <v>24</v>
      </c>
      <c r="N1011" s="468" t="s">
        <v>25</v>
      </c>
      <c r="O1011" s="470" t="s">
        <v>26</v>
      </c>
      <c r="P1011" s="466" t="s">
        <v>24</v>
      </c>
      <c r="Q1011" s="468" t="s">
        <v>25</v>
      </c>
      <c r="R1011" s="470" t="s">
        <v>26</v>
      </c>
      <c r="S1011" s="466" t="s">
        <v>24</v>
      </c>
      <c r="T1011" s="468" t="s">
        <v>25</v>
      </c>
      <c r="U1011" s="470" t="s">
        <v>26</v>
      </c>
      <c r="V1011" s="466" t="s">
        <v>24</v>
      </c>
      <c r="W1011" s="468" t="s">
        <v>25</v>
      </c>
      <c r="X1011" s="551" t="s">
        <v>26</v>
      </c>
      <c r="Y1011" s="466" t="s">
        <v>24</v>
      </c>
      <c r="Z1011" s="468" t="s">
        <v>25</v>
      </c>
      <c r="AA1011" s="470" t="s">
        <v>26</v>
      </c>
      <c r="AB1011" s="466" t="s">
        <v>24</v>
      </c>
      <c r="AC1011" s="468" t="s">
        <v>25</v>
      </c>
      <c r="AD1011" s="470" t="s">
        <v>26</v>
      </c>
      <c r="AE1011" s="466" t="s">
        <v>24</v>
      </c>
      <c r="AF1011" s="468" t="s">
        <v>25</v>
      </c>
      <c r="AG1011" s="470" t="s">
        <v>26</v>
      </c>
      <c r="AH1011" s="466" t="s">
        <v>24</v>
      </c>
      <c r="AI1011" s="468" t="s">
        <v>25</v>
      </c>
      <c r="AJ1011" s="470" t="s">
        <v>26</v>
      </c>
      <c r="AK1011" s="466" t="s">
        <v>24</v>
      </c>
      <c r="AL1011" s="468" t="s">
        <v>25</v>
      </c>
      <c r="AM1011" s="470" t="s">
        <v>26</v>
      </c>
      <c r="AN1011" s="466" t="s">
        <v>24</v>
      </c>
      <c r="AO1011" s="468" t="s">
        <v>25</v>
      </c>
      <c r="AP1011" s="470" t="s">
        <v>26</v>
      </c>
      <c r="AQ1011" s="466" t="s">
        <v>24</v>
      </c>
      <c r="AR1011" s="468" t="s">
        <v>25</v>
      </c>
      <c r="AS1011" s="470" t="s">
        <v>26</v>
      </c>
      <c r="AT1011" s="555" t="s">
        <v>24</v>
      </c>
      <c r="AU1011" s="472" t="s">
        <v>27</v>
      </c>
    </row>
    <row r="1012" spans="1:47" ht="15" customHeight="1">
      <c r="A1012" s="539"/>
      <c r="B1012" s="525"/>
      <c r="C1012" s="525"/>
      <c r="D1012" s="525"/>
      <c r="E1012" s="525"/>
      <c r="F1012" s="543"/>
      <c r="G1012" s="505"/>
      <c r="H1012" s="495"/>
      <c r="I1012" s="497"/>
      <c r="J1012" s="505"/>
      <c r="K1012" s="495"/>
      <c r="L1012" s="497"/>
      <c r="M1012" s="505"/>
      <c r="N1012" s="495"/>
      <c r="O1012" s="497"/>
      <c r="P1012" s="505"/>
      <c r="Q1012" s="495"/>
      <c r="R1012" s="497"/>
      <c r="S1012" s="505"/>
      <c r="T1012" s="495"/>
      <c r="U1012" s="497"/>
      <c r="V1012" s="505"/>
      <c r="W1012" s="495"/>
      <c r="X1012" s="535"/>
      <c r="Y1012" s="505"/>
      <c r="Z1012" s="495"/>
      <c r="AA1012" s="497"/>
      <c r="AB1012" s="505"/>
      <c r="AC1012" s="495"/>
      <c r="AD1012" s="497"/>
      <c r="AE1012" s="505"/>
      <c r="AF1012" s="495"/>
      <c r="AG1012" s="497"/>
      <c r="AH1012" s="505"/>
      <c r="AI1012" s="495"/>
      <c r="AJ1012" s="497"/>
      <c r="AK1012" s="505"/>
      <c r="AL1012" s="495"/>
      <c r="AM1012" s="497"/>
      <c r="AN1012" s="505"/>
      <c r="AO1012" s="495"/>
      <c r="AP1012" s="497"/>
      <c r="AQ1012" s="505"/>
      <c r="AR1012" s="495"/>
      <c r="AS1012" s="497"/>
      <c r="AT1012" s="537"/>
      <c r="AU1012" s="545"/>
    </row>
    <row r="1013" spans="1:47" ht="15" customHeight="1">
      <c r="A1013" s="526" t="s">
        <v>327</v>
      </c>
      <c r="B1013" s="540" t="s">
        <v>500</v>
      </c>
      <c r="C1013" s="528">
        <v>2272</v>
      </c>
      <c r="D1013" s="556" t="s">
        <v>501</v>
      </c>
      <c r="E1013" s="532" t="s">
        <v>502</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526"/>
      <c r="B1014" s="540"/>
      <c r="C1014" s="528"/>
      <c r="D1014" s="556"/>
      <c r="E1014" s="532"/>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526"/>
      <c r="B1015" s="540"/>
      <c r="C1015" s="528"/>
      <c r="D1015" s="556"/>
      <c r="E1015" s="532"/>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526"/>
      <c r="B1016" s="540"/>
      <c r="C1016" s="528"/>
      <c r="D1016" s="556"/>
      <c r="E1016" s="532"/>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526"/>
      <c r="B1017" s="540"/>
      <c r="C1017" s="528"/>
      <c r="D1017" s="556"/>
      <c r="E1017" s="532"/>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526"/>
      <c r="B1018" s="540"/>
      <c r="C1018" s="528"/>
      <c r="D1018" s="556"/>
      <c r="E1018" s="532"/>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526"/>
      <c r="B1019" s="540"/>
      <c r="C1019" s="528"/>
      <c r="D1019" s="556"/>
      <c r="E1019" s="532"/>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526"/>
      <c r="B1020" s="540"/>
      <c r="C1020" s="528"/>
      <c r="D1020" s="556"/>
      <c r="E1020" s="532"/>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473"/>
      <c r="B1021" s="476"/>
      <c r="C1021" s="479"/>
      <c r="D1021" s="562"/>
      <c r="E1021" s="485"/>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538" t="s">
        <v>22</v>
      </c>
      <c r="B1022" s="524" t="s">
        <v>18</v>
      </c>
      <c r="C1022" s="524" t="s">
        <v>19</v>
      </c>
      <c r="D1022" s="524" t="s">
        <v>203</v>
      </c>
      <c r="E1022" s="524" t="s">
        <v>21</v>
      </c>
      <c r="F1022" s="542" t="s">
        <v>23</v>
      </c>
      <c r="G1022" s="504" t="s">
        <v>24</v>
      </c>
      <c r="H1022" s="494" t="s">
        <v>25</v>
      </c>
      <c r="I1022" s="496" t="s">
        <v>26</v>
      </c>
      <c r="J1022" s="504" t="s">
        <v>24</v>
      </c>
      <c r="K1022" s="494" t="s">
        <v>25</v>
      </c>
      <c r="L1022" s="496" t="s">
        <v>26</v>
      </c>
      <c r="M1022" s="504" t="s">
        <v>24</v>
      </c>
      <c r="N1022" s="494" t="s">
        <v>25</v>
      </c>
      <c r="O1022" s="496" t="s">
        <v>26</v>
      </c>
      <c r="P1022" s="504" t="s">
        <v>24</v>
      </c>
      <c r="Q1022" s="494" t="s">
        <v>25</v>
      </c>
      <c r="R1022" s="496" t="s">
        <v>26</v>
      </c>
      <c r="S1022" s="504" t="s">
        <v>24</v>
      </c>
      <c r="T1022" s="494" t="s">
        <v>25</v>
      </c>
      <c r="U1022" s="496" t="s">
        <v>26</v>
      </c>
      <c r="V1022" s="504" t="s">
        <v>24</v>
      </c>
      <c r="W1022" s="494" t="s">
        <v>25</v>
      </c>
      <c r="X1022" s="534" t="s">
        <v>26</v>
      </c>
      <c r="Y1022" s="504" t="s">
        <v>24</v>
      </c>
      <c r="Z1022" s="494" t="s">
        <v>25</v>
      </c>
      <c r="AA1022" s="496" t="s">
        <v>26</v>
      </c>
      <c r="AB1022" s="504" t="s">
        <v>24</v>
      </c>
      <c r="AC1022" s="494" t="s">
        <v>25</v>
      </c>
      <c r="AD1022" s="496" t="s">
        <v>26</v>
      </c>
      <c r="AE1022" s="504" t="s">
        <v>24</v>
      </c>
      <c r="AF1022" s="494" t="s">
        <v>25</v>
      </c>
      <c r="AG1022" s="496" t="s">
        <v>26</v>
      </c>
      <c r="AH1022" s="504" t="s">
        <v>24</v>
      </c>
      <c r="AI1022" s="494" t="s">
        <v>25</v>
      </c>
      <c r="AJ1022" s="496" t="s">
        <v>26</v>
      </c>
      <c r="AK1022" s="504" t="s">
        <v>24</v>
      </c>
      <c r="AL1022" s="494" t="s">
        <v>25</v>
      </c>
      <c r="AM1022" s="496" t="s">
        <v>26</v>
      </c>
      <c r="AN1022" s="504" t="s">
        <v>24</v>
      </c>
      <c r="AO1022" s="494" t="s">
        <v>25</v>
      </c>
      <c r="AP1022" s="496" t="s">
        <v>26</v>
      </c>
      <c r="AQ1022" s="504" t="s">
        <v>24</v>
      </c>
      <c r="AR1022" s="494" t="s">
        <v>25</v>
      </c>
      <c r="AS1022" s="496" t="s">
        <v>26</v>
      </c>
      <c r="AT1022" s="536" t="s">
        <v>24</v>
      </c>
      <c r="AU1022" s="544" t="s">
        <v>27</v>
      </c>
    </row>
    <row r="1023" spans="1:47" ht="15" customHeight="1">
      <c r="A1023" s="539"/>
      <c r="B1023" s="525"/>
      <c r="C1023" s="525"/>
      <c r="D1023" s="525"/>
      <c r="E1023" s="525"/>
      <c r="F1023" s="543"/>
      <c r="G1023" s="505"/>
      <c r="H1023" s="495"/>
      <c r="I1023" s="497"/>
      <c r="J1023" s="505"/>
      <c r="K1023" s="495"/>
      <c r="L1023" s="497"/>
      <c r="M1023" s="505"/>
      <c r="N1023" s="495"/>
      <c r="O1023" s="497"/>
      <c r="P1023" s="505"/>
      <c r="Q1023" s="495"/>
      <c r="R1023" s="497"/>
      <c r="S1023" s="505"/>
      <c r="T1023" s="495"/>
      <c r="U1023" s="497"/>
      <c r="V1023" s="505"/>
      <c r="W1023" s="495"/>
      <c r="X1023" s="535"/>
      <c r="Y1023" s="505"/>
      <c r="Z1023" s="495"/>
      <c r="AA1023" s="497"/>
      <c r="AB1023" s="505"/>
      <c r="AC1023" s="495"/>
      <c r="AD1023" s="497"/>
      <c r="AE1023" s="505"/>
      <c r="AF1023" s="495"/>
      <c r="AG1023" s="497"/>
      <c r="AH1023" s="505"/>
      <c r="AI1023" s="495"/>
      <c r="AJ1023" s="497"/>
      <c r="AK1023" s="505"/>
      <c r="AL1023" s="495"/>
      <c r="AM1023" s="497"/>
      <c r="AN1023" s="505"/>
      <c r="AO1023" s="495"/>
      <c r="AP1023" s="497"/>
      <c r="AQ1023" s="505"/>
      <c r="AR1023" s="495"/>
      <c r="AS1023" s="497"/>
      <c r="AT1023" s="537"/>
      <c r="AU1023" s="545"/>
    </row>
    <row r="1024" spans="1:47" ht="15" customHeight="1">
      <c r="A1024" s="526" t="s">
        <v>247</v>
      </c>
      <c r="B1024" s="540" t="s">
        <v>503</v>
      </c>
      <c r="C1024" s="528">
        <v>1826</v>
      </c>
      <c r="D1024" s="530" t="s">
        <v>504</v>
      </c>
      <c r="E1024" s="532" t="s">
        <v>505</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526"/>
      <c r="B1025" s="540"/>
      <c r="C1025" s="528"/>
      <c r="D1025" s="530"/>
      <c r="E1025" s="532"/>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526"/>
      <c r="B1026" s="540"/>
      <c r="C1026" s="528"/>
      <c r="D1026" s="530"/>
      <c r="E1026" s="532"/>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526"/>
      <c r="B1027" s="540"/>
      <c r="C1027" s="528"/>
      <c r="D1027" s="530"/>
      <c r="E1027" s="532"/>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526"/>
      <c r="B1028" s="540"/>
      <c r="C1028" s="528"/>
      <c r="D1028" s="530"/>
      <c r="E1028" s="532"/>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526"/>
      <c r="B1029" s="540"/>
      <c r="C1029" s="528"/>
      <c r="D1029" s="530"/>
      <c r="E1029" s="532"/>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526"/>
      <c r="B1030" s="540"/>
      <c r="C1030" s="528"/>
      <c r="D1030" s="530"/>
      <c r="E1030" s="532"/>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526"/>
      <c r="B1031" s="540"/>
      <c r="C1031" s="528"/>
      <c r="D1031" s="530"/>
      <c r="E1031" s="532"/>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527"/>
      <c r="B1032" s="541"/>
      <c r="C1032" s="529"/>
      <c r="D1032" s="531"/>
      <c r="E1032" s="533"/>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538" t="s">
        <v>22</v>
      </c>
      <c r="B1033" s="524" t="s">
        <v>18</v>
      </c>
      <c r="C1033" s="524" t="s">
        <v>19</v>
      </c>
      <c r="D1033" s="524" t="s">
        <v>203</v>
      </c>
      <c r="E1033" s="524" t="s">
        <v>21</v>
      </c>
      <c r="F1033" s="542" t="s">
        <v>23</v>
      </c>
      <c r="G1033" s="504" t="s">
        <v>24</v>
      </c>
      <c r="H1033" s="494" t="s">
        <v>25</v>
      </c>
      <c r="I1033" s="496" t="s">
        <v>26</v>
      </c>
      <c r="J1033" s="504" t="s">
        <v>24</v>
      </c>
      <c r="K1033" s="494" t="s">
        <v>25</v>
      </c>
      <c r="L1033" s="496" t="s">
        <v>26</v>
      </c>
      <c r="M1033" s="504" t="s">
        <v>24</v>
      </c>
      <c r="N1033" s="494" t="s">
        <v>25</v>
      </c>
      <c r="O1033" s="496" t="s">
        <v>26</v>
      </c>
      <c r="P1033" s="504" t="s">
        <v>24</v>
      </c>
      <c r="Q1033" s="494" t="s">
        <v>25</v>
      </c>
      <c r="R1033" s="496" t="s">
        <v>26</v>
      </c>
      <c r="S1033" s="504" t="s">
        <v>24</v>
      </c>
      <c r="T1033" s="494" t="s">
        <v>25</v>
      </c>
      <c r="U1033" s="496" t="s">
        <v>26</v>
      </c>
      <c r="V1033" s="504" t="s">
        <v>24</v>
      </c>
      <c r="W1033" s="494" t="s">
        <v>25</v>
      </c>
      <c r="X1033" s="534" t="s">
        <v>26</v>
      </c>
      <c r="Y1033" s="504" t="s">
        <v>24</v>
      </c>
      <c r="Z1033" s="494" t="s">
        <v>25</v>
      </c>
      <c r="AA1033" s="496" t="s">
        <v>26</v>
      </c>
      <c r="AB1033" s="504" t="s">
        <v>24</v>
      </c>
      <c r="AC1033" s="494" t="s">
        <v>25</v>
      </c>
      <c r="AD1033" s="496" t="s">
        <v>26</v>
      </c>
      <c r="AE1033" s="504" t="s">
        <v>24</v>
      </c>
      <c r="AF1033" s="494" t="s">
        <v>25</v>
      </c>
      <c r="AG1033" s="496" t="s">
        <v>26</v>
      </c>
      <c r="AH1033" s="504" t="s">
        <v>24</v>
      </c>
      <c r="AI1033" s="494" t="s">
        <v>25</v>
      </c>
      <c r="AJ1033" s="496" t="s">
        <v>26</v>
      </c>
      <c r="AK1033" s="504" t="s">
        <v>24</v>
      </c>
      <c r="AL1033" s="494" t="s">
        <v>25</v>
      </c>
      <c r="AM1033" s="496" t="s">
        <v>26</v>
      </c>
      <c r="AN1033" s="504" t="s">
        <v>24</v>
      </c>
      <c r="AO1033" s="494" t="s">
        <v>25</v>
      </c>
      <c r="AP1033" s="496" t="s">
        <v>26</v>
      </c>
      <c r="AQ1033" s="504" t="s">
        <v>24</v>
      </c>
      <c r="AR1033" s="494" t="s">
        <v>25</v>
      </c>
      <c r="AS1033" s="496" t="s">
        <v>26</v>
      </c>
      <c r="AT1033" s="536" t="s">
        <v>24</v>
      </c>
      <c r="AU1033" s="544" t="s">
        <v>27</v>
      </c>
    </row>
    <row r="1034" spans="1:47" ht="25.5" customHeight="1">
      <c r="A1034" s="539"/>
      <c r="B1034" s="525"/>
      <c r="C1034" s="525"/>
      <c r="D1034" s="525"/>
      <c r="E1034" s="525"/>
      <c r="F1034" s="543"/>
      <c r="G1034" s="505"/>
      <c r="H1034" s="495"/>
      <c r="I1034" s="497"/>
      <c r="J1034" s="505"/>
      <c r="K1034" s="495"/>
      <c r="L1034" s="497"/>
      <c r="M1034" s="505"/>
      <c r="N1034" s="495"/>
      <c r="O1034" s="497"/>
      <c r="P1034" s="505"/>
      <c r="Q1034" s="495"/>
      <c r="R1034" s="497"/>
      <c r="S1034" s="505"/>
      <c r="T1034" s="495"/>
      <c r="U1034" s="497"/>
      <c r="V1034" s="505"/>
      <c r="W1034" s="495"/>
      <c r="X1034" s="535"/>
      <c r="Y1034" s="505"/>
      <c r="Z1034" s="495"/>
      <c r="AA1034" s="497"/>
      <c r="AB1034" s="505"/>
      <c r="AC1034" s="495"/>
      <c r="AD1034" s="497"/>
      <c r="AE1034" s="505"/>
      <c r="AF1034" s="495"/>
      <c r="AG1034" s="497"/>
      <c r="AH1034" s="505"/>
      <c r="AI1034" s="495"/>
      <c r="AJ1034" s="497"/>
      <c r="AK1034" s="505"/>
      <c r="AL1034" s="495"/>
      <c r="AM1034" s="497"/>
      <c r="AN1034" s="505"/>
      <c r="AO1034" s="495"/>
      <c r="AP1034" s="497"/>
      <c r="AQ1034" s="505"/>
      <c r="AR1034" s="495"/>
      <c r="AS1034" s="497"/>
      <c r="AT1034" s="537"/>
      <c r="AU1034" s="545"/>
    </row>
    <row r="1035" spans="1:47" ht="14.45" customHeight="1">
      <c r="A1035" s="526" t="s">
        <v>506</v>
      </c>
      <c r="B1035" s="540" t="s">
        <v>507</v>
      </c>
      <c r="C1035" s="528">
        <v>2909</v>
      </c>
      <c r="D1035" s="530" t="s">
        <v>508</v>
      </c>
      <c r="E1035" s="532" t="s">
        <v>509</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526"/>
      <c r="B1036" s="540"/>
      <c r="C1036" s="528"/>
      <c r="D1036" s="530"/>
      <c r="E1036" s="532"/>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526"/>
      <c r="B1037" s="540"/>
      <c r="C1037" s="528"/>
      <c r="D1037" s="530"/>
      <c r="E1037" s="532"/>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526"/>
      <c r="B1038" s="540"/>
      <c r="C1038" s="528"/>
      <c r="D1038" s="530"/>
      <c r="E1038" s="532"/>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526"/>
      <c r="B1039" s="540"/>
      <c r="C1039" s="528"/>
      <c r="D1039" s="530"/>
      <c r="E1039" s="532"/>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526"/>
      <c r="B1040" s="540"/>
      <c r="C1040" s="528"/>
      <c r="D1040" s="530"/>
      <c r="E1040" s="532"/>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526"/>
      <c r="B1041" s="540"/>
      <c r="C1041" s="528"/>
      <c r="D1041" s="530"/>
      <c r="E1041" s="532"/>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526"/>
      <c r="B1042" s="540"/>
      <c r="C1042" s="528"/>
      <c r="D1042" s="530"/>
      <c r="E1042" s="532"/>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527"/>
      <c r="B1043" s="541"/>
      <c r="C1043" s="529"/>
      <c r="D1043" s="531"/>
      <c r="E1043" s="533"/>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538" t="s">
        <v>22</v>
      </c>
      <c r="B1044" s="524" t="s">
        <v>18</v>
      </c>
      <c r="C1044" s="524" t="s">
        <v>19</v>
      </c>
      <c r="D1044" s="524" t="s">
        <v>203</v>
      </c>
      <c r="E1044" s="524" t="s">
        <v>21</v>
      </c>
      <c r="F1044" s="542" t="s">
        <v>23</v>
      </c>
      <c r="G1044" s="504" t="s">
        <v>24</v>
      </c>
      <c r="H1044" s="494" t="s">
        <v>25</v>
      </c>
      <c r="I1044" s="496" t="s">
        <v>26</v>
      </c>
      <c r="J1044" s="504" t="s">
        <v>24</v>
      </c>
      <c r="K1044" s="494" t="s">
        <v>25</v>
      </c>
      <c r="L1044" s="496" t="s">
        <v>26</v>
      </c>
      <c r="M1044" s="504" t="s">
        <v>24</v>
      </c>
      <c r="N1044" s="494" t="s">
        <v>25</v>
      </c>
      <c r="O1044" s="496" t="s">
        <v>26</v>
      </c>
      <c r="P1044" s="504" t="s">
        <v>24</v>
      </c>
      <c r="Q1044" s="494" t="s">
        <v>25</v>
      </c>
      <c r="R1044" s="496" t="s">
        <v>26</v>
      </c>
      <c r="S1044" s="504" t="s">
        <v>24</v>
      </c>
      <c r="T1044" s="494" t="s">
        <v>25</v>
      </c>
      <c r="U1044" s="496" t="s">
        <v>26</v>
      </c>
      <c r="V1044" s="504" t="s">
        <v>24</v>
      </c>
      <c r="W1044" s="494" t="s">
        <v>25</v>
      </c>
      <c r="X1044" s="534" t="s">
        <v>26</v>
      </c>
      <c r="Y1044" s="504" t="s">
        <v>24</v>
      </c>
      <c r="Z1044" s="494" t="s">
        <v>25</v>
      </c>
      <c r="AA1044" s="496" t="s">
        <v>26</v>
      </c>
      <c r="AB1044" s="504" t="s">
        <v>24</v>
      </c>
      <c r="AC1044" s="494" t="s">
        <v>25</v>
      </c>
      <c r="AD1044" s="496" t="s">
        <v>26</v>
      </c>
      <c r="AE1044" s="504" t="s">
        <v>24</v>
      </c>
      <c r="AF1044" s="494" t="s">
        <v>25</v>
      </c>
      <c r="AG1044" s="496" t="s">
        <v>26</v>
      </c>
      <c r="AH1044" s="504" t="s">
        <v>24</v>
      </c>
      <c r="AI1044" s="494" t="s">
        <v>25</v>
      </c>
      <c r="AJ1044" s="496" t="s">
        <v>26</v>
      </c>
      <c r="AK1044" s="504" t="s">
        <v>24</v>
      </c>
      <c r="AL1044" s="494" t="s">
        <v>25</v>
      </c>
      <c r="AM1044" s="496" t="s">
        <v>26</v>
      </c>
      <c r="AN1044" s="504" t="s">
        <v>24</v>
      </c>
      <c r="AO1044" s="494" t="s">
        <v>25</v>
      </c>
      <c r="AP1044" s="496" t="s">
        <v>26</v>
      </c>
      <c r="AQ1044" s="504" t="s">
        <v>24</v>
      </c>
      <c r="AR1044" s="494" t="s">
        <v>25</v>
      </c>
      <c r="AS1044" s="496" t="s">
        <v>26</v>
      </c>
      <c r="AT1044" s="536" t="s">
        <v>24</v>
      </c>
      <c r="AU1044" s="544" t="s">
        <v>27</v>
      </c>
    </row>
    <row r="1045" spans="1:47" ht="15" customHeight="1">
      <c r="A1045" s="539"/>
      <c r="B1045" s="525"/>
      <c r="C1045" s="525"/>
      <c r="D1045" s="525"/>
      <c r="E1045" s="525"/>
      <c r="F1045" s="543"/>
      <c r="G1045" s="505"/>
      <c r="H1045" s="495"/>
      <c r="I1045" s="497"/>
      <c r="J1045" s="505"/>
      <c r="K1045" s="495"/>
      <c r="L1045" s="497"/>
      <c r="M1045" s="505"/>
      <c r="N1045" s="495"/>
      <c r="O1045" s="497"/>
      <c r="P1045" s="505"/>
      <c r="Q1045" s="495"/>
      <c r="R1045" s="497"/>
      <c r="S1045" s="505"/>
      <c r="T1045" s="495"/>
      <c r="U1045" s="497"/>
      <c r="V1045" s="505"/>
      <c r="W1045" s="495"/>
      <c r="X1045" s="535"/>
      <c r="Y1045" s="505"/>
      <c r="Z1045" s="495"/>
      <c r="AA1045" s="497"/>
      <c r="AB1045" s="505"/>
      <c r="AC1045" s="495"/>
      <c r="AD1045" s="497"/>
      <c r="AE1045" s="505"/>
      <c r="AF1045" s="495"/>
      <c r="AG1045" s="497"/>
      <c r="AH1045" s="505"/>
      <c r="AI1045" s="495"/>
      <c r="AJ1045" s="497"/>
      <c r="AK1045" s="505"/>
      <c r="AL1045" s="495"/>
      <c r="AM1045" s="497"/>
      <c r="AN1045" s="505"/>
      <c r="AO1045" s="495"/>
      <c r="AP1045" s="497"/>
      <c r="AQ1045" s="505"/>
      <c r="AR1045" s="495"/>
      <c r="AS1045" s="497"/>
      <c r="AT1045" s="537"/>
      <c r="AU1045" s="545"/>
    </row>
    <row r="1046" spans="1:47" ht="15" customHeight="1">
      <c r="A1046" s="526" t="s">
        <v>88</v>
      </c>
      <c r="B1046" s="540" t="s">
        <v>510</v>
      </c>
      <c r="C1046" s="528">
        <v>1500</v>
      </c>
      <c r="D1046" s="556"/>
      <c r="E1046" s="532" t="s">
        <v>511</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526"/>
      <c r="B1047" s="540"/>
      <c r="C1047" s="528"/>
      <c r="D1047" s="556"/>
      <c r="E1047" s="532"/>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526"/>
      <c r="B1048" s="540"/>
      <c r="C1048" s="528"/>
      <c r="D1048" s="556"/>
      <c r="E1048" s="532"/>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526"/>
      <c r="B1049" s="540"/>
      <c r="C1049" s="528"/>
      <c r="D1049" s="556"/>
      <c r="E1049" s="532"/>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526"/>
      <c r="B1050" s="540"/>
      <c r="C1050" s="528"/>
      <c r="D1050" s="556"/>
      <c r="E1050" s="532"/>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526"/>
      <c r="B1051" s="540"/>
      <c r="C1051" s="528"/>
      <c r="D1051" s="556"/>
      <c r="E1051" s="532"/>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526"/>
      <c r="B1052" s="540"/>
      <c r="C1052" s="528"/>
      <c r="D1052" s="556"/>
      <c r="E1052" s="532"/>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526"/>
      <c r="B1053" s="540"/>
      <c r="C1053" s="528"/>
      <c r="D1053" s="556"/>
      <c r="E1053" s="532"/>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527"/>
      <c r="B1054" s="541"/>
      <c r="C1054" s="529"/>
      <c r="D1054" s="559"/>
      <c r="E1054" s="533"/>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488" t="s">
        <v>22</v>
      </c>
      <c r="B1055" s="490" t="s">
        <v>18</v>
      </c>
      <c r="C1055" s="490" t="s">
        <v>19</v>
      </c>
      <c r="D1055" s="490" t="s">
        <v>203</v>
      </c>
      <c r="E1055" s="490" t="s">
        <v>21</v>
      </c>
      <c r="F1055" s="492" t="s">
        <v>23</v>
      </c>
      <c r="G1055" s="465" t="s">
        <v>24</v>
      </c>
      <c r="H1055" s="467" t="s">
        <v>25</v>
      </c>
      <c r="I1055" s="469" t="s">
        <v>26</v>
      </c>
      <c r="J1055" s="465" t="s">
        <v>24</v>
      </c>
      <c r="K1055" s="467" t="s">
        <v>25</v>
      </c>
      <c r="L1055" s="469" t="s">
        <v>26</v>
      </c>
      <c r="M1055" s="465" t="s">
        <v>24</v>
      </c>
      <c r="N1055" s="467" t="s">
        <v>25</v>
      </c>
      <c r="O1055" s="469" t="s">
        <v>26</v>
      </c>
      <c r="P1055" s="465" t="s">
        <v>24</v>
      </c>
      <c r="Q1055" s="467" t="s">
        <v>25</v>
      </c>
      <c r="R1055" s="469" t="s">
        <v>26</v>
      </c>
      <c r="S1055" s="465" t="s">
        <v>24</v>
      </c>
      <c r="T1055" s="467" t="s">
        <v>25</v>
      </c>
      <c r="U1055" s="469" t="s">
        <v>26</v>
      </c>
      <c r="V1055" s="465" t="s">
        <v>24</v>
      </c>
      <c r="W1055" s="467" t="s">
        <v>25</v>
      </c>
      <c r="X1055" s="469" t="s">
        <v>26</v>
      </c>
      <c r="Y1055" s="465" t="s">
        <v>24</v>
      </c>
      <c r="Z1055" s="467" t="s">
        <v>25</v>
      </c>
      <c r="AA1055" s="469" t="s">
        <v>26</v>
      </c>
      <c r="AB1055" s="465" t="s">
        <v>24</v>
      </c>
      <c r="AC1055" s="467" t="s">
        <v>25</v>
      </c>
      <c r="AD1055" s="469" t="s">
        <v>26</v>
      </c>
      <c r="AE1055" s="465" t="s">
        <v>24</v>
      </c>
      <c r="AF1055" s="467" t="s">
        <v>25</v>
      </c>
      <c r="AG1055" s="469" t="s">
        <v>26</v>
      </c>
      <c r="AH1055" s="465" t="s">
        <v>24</v>
      </c>
      <c r="AI1055" s="467" t="s">
        <v>25</v>
      </c>
      <c r="AJ1055" s="469" t="s">
        <v>26</v>
      </c>
      <c r="AK1055" s="465" t="s">
        <v>24</v>
      </c>
      <c r="AL1055" s="467" t="s">
        <v>25</v>
      </c>
      <c r="AM1055" s="469" t="s">
        <v>26</v>
      </c>
      <c r="AN1055" s="465" t="s">
        <v>24</v>
      </c>
      <c r="AO1055" s="467" t="s">
        <v>25</v>
      </c>
      <c r="AP1055" s="469" t="s">
        <v>26</v>
      </c>
      <c r="AQ1055" s="465" t="s">
        <v>24</v>
      </c>
      <c r="AR1055" s="467" t="s">
        <v>25</v>
      </c>
      <c r="AS1055" s="469" t="s">
        <v>26</v>
      </c>
      <c r="AT1055" s="465" t="s">
        <v>24</v>
      </c>
      <c r="AU1055" s="471" t="s">
        <v>27</v>
      </c>
    </row>
    <row r="1056" spans="1:47">
      <c r="A1056" s="489"/>
      <c r="B1056" s="491"/>
      <c r="C1056" s="491"/>
      <c r="D1056" s="491"/>
      <c r="E1056" s="491"/>
      <c r="F1056" s="493"/>
      <c r="G1056" s="466"/>
      <c r="H1056" s="468"/>
      <c r="I1056" s="470"/>
      <c r="J1056" s="466"/>
      <c r="K1056" s="468"/>
      <c r="L1056" s="470"/>
      <c r="M1056" s="466"/>
      <c r="N1056" s="468"/>
      <c r="O1056" s="470"/>
      <c r="P1056" s="466"/>
      <c r="Q1056" s="468"/>
      <c r="R1056" s="470"/>
      <c r="S1056" s="466"/>
      <c r="T1056" s="468"/>
      <c r="U1056" s="470"/>
      <c r="V1056" s="466"/>
      <c r="W1056" s="468"/>
      <c r="X1056" s="470"/>
      <c r="Y1056" s="466"/>
      <c r="Z1056" s="468"/>
      <c r="AA1056" s="470"/>
      <c r="AB1056" s="466"/>
      <c r="AC1056" s="468"/>
      <c r="AD1056" s="470"/>
      <c r="AE1056" s="466"/>
      <c r="AF1056" s="468"/>
      <c r="AG1056" s="470"/>
      <c r="AH1056" s="466"/>
      <c r="AI1056" s="468"/>
      <c r="AJ1056" s="470"/>
      <c r="AK1056" s="466"/>
      <c r="AL1056" s="468"/>
      <c r="AM1056" s="470"/>
      <c r="AN1056" s="466"/>
      <c r="AO1056" s="468"/>
      <c r="AP1056" s="470"/>
      <c r="AQ1056" s="466"/>
      <c r="AR1056" s="468"/>
      <c r="AS1056" s="470"/>
      <c r="AT1056" s="466"/>
      <c r="AU1056" s="472"/>
    </row>
    <row r="1057" spans="1:47">
      <c r="A1057" s="473" t="s">
        <v>248</v>
      </c>
      <c r="B1057" s="476" t="s">
        <v>512</v>
      </c>
      <c r="C1057" s="479">
        <v>3414</v>
      </c>
      <c r="D1057" s="482"/>
      <c r="E1057" s="659" t="s">
        <v>513</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474"/>
      <c r="B1058" s="477"/>
      <c r="C1058" s="480"/>
      <c r="D1058" s="483"/>
      <c r="E1058" s="486"/>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474"/>
      <c r="B1059" s="477"/>
      <c r="C1059" s="480"/>
      <c r="D1059" s="483"/>
      <c r="E1059" s="486"/>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3"/>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474"/>
      <c r="B1060" s="477"/>
      <c r="C1060" s="480"/>
      <c r="D1060" s="483"/>
      <c r="E1060" s="486"/>
      <c r="F1060" s="91" t="s">
        <v>263</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474"/>
      <c r="B1061" s="477"/>
      <c r="C1061" s="480"/>
      <c r="D1061" s="483"/>
      <c r="E1061" s="486"/>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474"/>
      <c r="B1062" s="477"/>
      <c r="C1062" s="480"/>
      <c r="D1062" s="483"/>
      <c r="E1062" s="486"/>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474"/>
      <c r="B1063" s="477"/>
      <c r="C1063" s="480"/>
      <c r="D1063" s="483"/>
      <c r="E1063" s="486"/>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474"/>
      <c r="B1064" s="477"/>
      <c r="C1064" s="480"/>
      <c r="D1064" s="483"/>
      <c r="E1064" s="486"/>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474"/>
      <c r="B1065" s="477"/>
      <c r="C1065" s="480"/>
      <c r="D1065" s="483"/>
      <c r="E1065" s="486"/>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475"/>
      <c r="B1066" s="478"/>
      <c r="C1066" s="481"/>
      <c r="D1066" s="484"/>
      <c r="E1066" s="487"/>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488" t="s">
        <v>22</v>
      </c>
      <c r="B1067" s="490" t="s">
        <v>18</v>
      </c>
      <c r="C1067" s="490" t="s">
        <v>19</v>
      </c>
      <c r="D1067" s="490" t="s">
        <v>203</v>
      </c>
      <c r="E1067" s="490" t="s">
        <v>21</v>
      </c>
      <c r="F1067" s="492" t="s">
        <v>23</v>
      </c>
      <c r="G1067" s="465" t="s">
        <v>24</v>
      </c>
      <c r="H1067" s="467" t="s">
        <v>25</v>
      </c>
      <c r="I1067" s="469" t="s">
        <v>26</v>
      </c>
      <c r="J1067" s="465" t="s">
        <v>24</v>
      </c>
      <c r="K1067" s="467" t="s">
        <v>25</v>
      </c>
      <c r="L1067" s="469" t="s">
        <v>26</v>
      </c>
      <c r="M1067" s="465" t="s">
        <v>24</v>
      </c>
      <c r="N1067" s="467" t="s">
        <v>25</v>
      </c>
      <c r="O1067" s="469" t="s">
        <v>26</v>
      </c>
      <c r="P1067" s="465" t="s">
        <v>24</v>
      </c>
      <c r="Q1067" s="467" t="s">
        <v>25</v>
      </c>
      <c r="R1067" s="469" t="s">
        <v>26</v>
      </c>
      <c r="S1067" s="465" t="s">
        <v>24</v>
      </c>
      <c r="T1067" s="467" t="s">
        <v>25</v>
      </c>
      <c r="U1067" s="469" t="s">
        <v>26</v>
      </c>
      <c r="V1067" s="465" t="s">
        <v>24</v>
      </c>
      <c r="W1067" s="467" t="s">
        <v>25</v>
      </c>
      <c r="X1067" s="469" t="s">
        <v>26</v>
      </c>
      <c r="Y1067" s="465" t="s">
        <v>24</v>
      </c>
      <c r="Z1067" s="467" t="s">
        <v>25</v>
      </c>
      <c r="AA1067" s="469" t="s">
        <v>26</v>
      </c>
      <c r="AB1067" s="465" t="s">
        <v>24</v>
      </c>
      <c r="AC1067" s="467" t="s">
        <v>25</v>
      </c>
      <c r="AD1067" s="469" t="s">
        <v>26</v>
      </c>
      <c r="AE1067" s="465" t="s">
        <v>24</v>
      </c>
      <c r="AF1067" s="467" t="s">
        <v>25</v>
      </c>
      <c r="AG1067" s="469" t="s">
        <v>26</v>
      </c>
      <c r="AH1067" s="465" t="s">
        <v>24</v>
      </c>
      <c r="AI1067" s="467" t="s">
        <v>25</v>
      </c>
      <c r="AJ1067" s="469" t="s">
        <v>26</v>
      </c>
      <c r="AK1067" s="465" t="s">
        <v>24</v>
      </c>
      <c r="AL1067" s="467" t="s">
        <v>25</v>
      </c>
      <c r="AM1067" s="469" t="s">
        <v>26</v>
      </c>
      <c r="AN1067" s="465" t="s">
        <v>24</v>
      </c>
      <c r="AO1067" s="467" t="s">
        <v>25</v>
      </c>
      <c r="AP1067" s="469" t="s">
        <v>26</v>
      </c>
      <c r="AQ1067" s="465" t="s">
        <v>24</v>
      </c>
      <c r="AR1067" s="467" t="s">
        <v>25</v>
      </c>
      <c r="AS1067" s="469" t="s">
        <v>26</v>
      </c>
      <c r="AT1067" s="465" t="s">
        <v>24</v>
      </c>
      <c r="AU1067" s="471" t="s">
        <v>27</v>
      </c>
    </row>
    <row r="1068" spans="1:47">
      <c r="A1068" s="489"/>
      <c r="B1068" s="491"/>
      <c r="C1068" s="491"/>
      <c r="D1068" s="491"/>
      <c r="E1068" s="491"/>
      <c r="F1068" s="493"/>
      <c r="G1068" s="466"/>
      <c r="H1068" s="468"/>
      <c r="I1068" s="470"/>
      <c r="J1068" s="466"/>
      <c r="K1068" s="468"/>
      <c r="L1068" s="470"/>
      <c r="M1068" s="466"/>
      <c r="N1068" s="468"/>
      <c r="O1068" s="470"/>
      <c r="P1068" s="466"/>
      <c r="Q1068" s="468"/>
      <c r="R1068" s="470"/>
      <c r="S1068" s="466"/>
      <c r="T1068" s="468"/>
      <c r="U1068" s="470"/>
      <c r="V1068" s="466"/>
      <c r="W1068" s="468"/>
      <c r="X1068" s="470"/>
      <c r="Y1068" s="466"/>
      <c r="Z1068" s="468"/>
      <c r="AA1068" s="470"/>
      <c r="AB1068" s="466"/>
      <c r="AC1068" s="468"/>
      <c r="AD1068" s="470"/>
      <c r="AE1068" s="466"/>
      <c r="AF1068" s="468"/>
      <c r="AG1068" s="470"/>
      <c r="AH1068" s="466"/>
      <c r="AI1068" s="468"/>
      <c r="AJ1068" s="470"/>
      <c r="AK1068" s="466"/>
      <c r="AL1068" s="468"/>
      <c r="AM1068" s="470"/>
      <c r="AN1068" s="466"/>
      <c r="AO1068" s="468"/>
      <c r="AP1068" s="470"/>
      <c r="AQ1068" s="466"/>
      <c r="AR1068" s="468"/>
      <c r="AS1068" s="470"/>
      <c r="AT1068" s="466"/>
      <c r="AU1068" s="472"/>
    </row>
    <row r="1069" spans="1:47">
      <c r="A1069" s="473" t="s">
        <v>88</v>
      </c>
      <c r="B1069" s="476" t="s">
        <v>514</v>
      </c>
      <c r="C1069" s="479">
        <v>3403</v>
      </c>
      <c r="D1069" s="482"/>
      <c r="E1069" s="659"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474"/>
      <c r="B1070" s="477"/>
      <c r="C1070" s="480"/>
      <c r="D1070" s="483"/>
      <c r="E1070" s="486"/>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474"/>
      <c r="B1071" s="477"/>
      <c r="C1071" s="480"/>
      <c r="D1071" s="483"/>
      <c r="E1071" s="486"/>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3"/>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474"/>
      <c r="B1072" s="477"/>
      <c r="C1072" s="480"/>
      <c r="D1072" s="483"/>
      <c r="E1072" s="486"/>
      <c r="F1072" s="91" t="s">
        <v>263</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474"/>
      <c r="B1073" s="477"/>
      <c r="C1073" s="480"/>
      <c r="D1073" s="483"/>
      <c r="E1073" s="486"/>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474"/>
      <c r="B1074" s="477"/>
      <c r="C1074" s="480"/>
      <c r="D1074" s="483"/>
      <c r="E1074" s="486"/>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474"/>
      <c r="B1075" s="477"/>
      <c r="C1075" s="480"/>
      <c r="D1075" s="483"/>
      <c r="E1075" s="486"/>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474"/>
      <c r="B1076" s="477"/>
      <c r="C1076" s="480"/>
      <c r="D1076" s="483"/>
      <c r="E1076" s="486"/>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474"/>
      <c r="B1077" s="477"/>
      <c r="C1077" s="480"/>
      <c r="D1077" s="483"/>
      <c r="E1077" s="486"/>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475"/>
      <c r="B1078" s="478"/>
      <c r="C1078" s="481"/>
      <c r="D1078" s="484"/>
      <c r="E1078" s="487"/>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488" t="s">
        <v>22</v>
      </c>
      <c r="B1079" s="490" t="s">
        <v>18</v>
      </c>
      <c r="C1079" s="490" t="s">
        <v>19</v>
      </c>
      <c r="D1079" s="490" t="s">
        <v>203</v>
      </c>
      <c r="E1079" s="490" t="s">
        <v>21</v>
      </c>
      <c r="F1079" s="492" t="s">
        <v>23</v>
      </c>
      <c r="G1079" s="465" t="s">
        <v>24</v>
      </c>
      <c r="H1079" s="467" t="s">
        <v>25</v>
      </c>
      <c r="I1079" s="469" t="s">
        <v>26</v>
      </c>
      <c r="J1079" s="465" t="s">
        <v>24</v>
      </c>
      <c r="K1079" s="467" t="s">
        <v>25</v>
      </c>
      <c r="L1079" s="469" t="s">
        <v>26</v>
      </c>
      <c r="M1079" s="465" t="s">
        <v>24</v>
      </c>
      <c r="N1079" s="467" t="s">
        <v>25</v>
      </c>
      <c r="O1079" s="469" t="s">
        <v>26</v>
      </c>
      <c r="P1079" s="465" t="s">
        <v>24</v>
      </c>
      <c r="Q1079" s="467" t="s">
        <v>25</v>
      </c>
      <c r="R1079" s="469" t="s">
        <v>26</v>
      </c>
      <c r="S1079" s="465" t="s">
        <v>24</v>
      </c>
      <c r="T1079" s="467" t="s">
        <v>25</v>
      </c>
      <c r="U1079" s="469" t="s">
        <v>26</v>
      </c>
      <c r="V1079" s="465" t="s">
        <v>24</v>
      </c>
      <c r="W1079" s="467" t="s">
        <v>25</v>
      </c>
      <c r="X1079" s="469" t="s">
        <v>26</v>
      </c>
      <c r="Y1079" s="465" t="s">
        <v>24</v>
      </c>
      <c r="Z1079" s="467" t="s">
        <v>25</v>
      </c>
      <c r="AA1079" s="469" t="s">
        <v>26</v>
      </c>
      <c r="AB1079" s="465" t="s">
        <v>24</v>
      </c>
      <c r="AC1079" s="467" t="s">
        <v>25</v>
      </c>
      <c r="AD1079" s="469" t="s">
        <v>26</v>
      </c>
      <c r="AE1079" s="465" t="s">
        <v>24</v>
      </c>
      <c r="AF1079" s="467" t="s">
        <v>25</v>
      </c>
      <c r="AG1079" s="469" t="s">
        <v>26</v>
      </c>
      <c r="AH1079" s="465" t="s">
        <v>24</v>
      </c>
      <c r="AI1079" s="467" t="s">
        <v>25</v>
      </c>
      <c r="AJ1079" s="469" t="s">
        <v>26</v>
      </c>
      <c r="AK1079" s="465" t="s">
        <v>24</v>
      </c>
      <c r="AL1079" s="467" t="s">
        <v>25</v>
      </c>
      <c r="AM1079" s="469" t="s">
        <v>26</v>
      </c>
      <c r="AN1079" s="465" t="s">
        <v>24</v>
      </c>
      <c r="AO1079" s="467" t="s">
        <v>25</v>
      </c>
      <c r="AP1079" s="469" t="s">
        <v>26</v>
      </c>
      <c r="AQ1079" s="465" t="s">
        <v>24</v>
      </c>
      <c r="AR1079" s="467" t="s">
        <v>25</v>
      </c>
      <c r="AS1079" s="469" t="s">
        <v>26</v>
      </c>
      <c r="AT1079" s="465" t="s">
        <v>24</v>
      </c>
      <c r="AU1079" s="471" t="s">
        <v>27</v>
      </c>
    </row>
    <row r="1080" spans="1:47">
      <c r="A1080" s="489"/>
      <c r="B1080" s="491"/>
      <c r="C1080" s="491"/>
      <c r="D1080" s="491"/>
      <c r="E1080" s="491"/>
      <c r="F1080" s="493"/>
      <c r="G1080" s="466"/>
      <c r="H1080" s="468"/>
      <c r="I1080" s="470"/>
      <c r="J1080" s="466"/>
      <c r="K1080" s="468"/>
      <c r="L1080" s="470"/>
      <c r="M1080" s="466"/>
      <c r="N1080" s="468"/>
      <c r="O1080" s="470"/>
      <c r="P1080" s="466"/>
      <c r="Q1080" s="468"/>
      <c r="R1080" s="470"/>
      <c r="S1080" s="466"/>
      <c r="T1080" s="468"/>
      <c r="U1080" s="470"/>
      <c r="V1080" s="466"/>
      <c r="W1080" s="468"/>
      <c r="X1080" s="470"/>
      <c r="Y1080" s="466"/>
      <c r="Z1080" s="468"/>
      <c r="AA1080" s="470"/>
      <c r="AB1080" s="466"/>
      <c r="AC1080" s="468"/>
      <c r="AD1080" s="470"/>
      <c r="AE1080" s="466"/>
      <c r="AF1080" s="468"/>
      <c r="AG1080" s="470"/>
      <c r="AH1080" s="466"/>
      <c r="AI1080" s="468"/>
      <c r="AJ1080" s="470"/>
      <c r="AK1080" s="466"/>
      <c r="AL1080" s="468"/>
      <c r="AM1080" s="470"/>
      <c r="AN1080" s="466"/>
      <c r="AO1080" s="468"/>
      <c r="AP1080" s="470"/>
      <c r="AQ1080" s="466"/>
      <c r="AR1080" s="468"/>
      <c r="AS1080" s="470"/>
      <c r="AT1080" s="466"/>
      <c r="AU1080" s="472"/>
    </row>
    <row r="1081" spans="1:47">
      <c r="A1081" s="473" t="s">
        <v>88</v>
      </c>
      <c r="B1081" s="476" t="s">
        <v>515</v>
      </c>
      <c r="C1081" s="479">
        <v>3416</v>
      </c>
      <c r="D1081" s="482"/>
      <c r="E1081" s="659" t="s">
        <v>516</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474"/>
      <c r="B1082" s="477"/>
      <c r="C1082" s="480"/>
      <c r="D1082" s="483"/>
      <c r="E1082" s="486"/>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474"/>
      <c r="B1083" s="477"/>
      <c r="C1083" s="480"/>
      <c r="D1083" s="483"/>
      <c r="E1083" s="486"/>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3"/>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474"/>
      <c r="B1084" s="477"/>
      <c r="C1084" s="480"/>
      <c r="D1084" s="483"/>
      <c r="E1084" s="486"/>
      <c r="F1084" s="91" t="s">
        <v>263</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474"/>
      <c r="B1085" s="477"/>
      <c r="C1085" s="480"/>
      <c r="D1085" s="483"/>
      <c r="E1085" s="486"/>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474"/>
      <c r="B1086" s="477"/>
      <c r="C1086" s="480"/>
      <c r="D1086" s="483"/>
      <c r="E1086" s="486"/>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474"/>
      <c r="B1087" s="477"/>
      <c r="C1087" s="480"/>
      <c r="D1087" s="483"/>
      <c r="E1087" s="486"/>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474"/>
      <c r="B1088" s="477"/>
      <c r="C1088" s="480"/>
      <c r="D1088" s="483"/>
      <c r="E1088" s="486"/>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474"/>
      <c r="B1089" s="477"/>
      <c r="C1089" s="480"/>
      <c r="D1089" s="483"/>
      <c r="E1089" s="486"/>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475"/>
      <c r="B1090" s="478"/>
      <c r="C1090" s="481"/>
      <c r="D1090" s="484"/>
      <c r="E1090" s="487"/>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488" t="s">
        <v>22</v>
      </c>
      <c r="B1091" s="490" t="s">
        <v>18</v>
      </c>
      <c r="C1091" s="490" t="s">
        <v>19</v>
      </c>
      <c r="D1091" s="490" t="s">
        <v>203</v>
      </c>
      <c r="E1091" s="490" t="s">
        <v>21</v>
      </c>
      <c r="F1091" s="492" t="s">
        <v>23</v>
      </c>
      <c r="G1091" s="465" t="s">
        <v>24</v>
      </c>
      <c r="H1091" s="467" t="s">
        <v>25</v>
      </c>
      <c r="I1091" s="469" t="s">
        <v>26</v>
      </c>
      <c r="J1091" s="465" t="s">
        <v>24</v>
      </c>
      <c r="K1091" s="467" t="s">
        <v>25</v>
      </c>
      <c r="L1091" s="469" t="s">
        <v>26</v>
      </c>
      <c r="M1091" s="465" t="s">
        <v>24</v>
      </c>
      <c r="N1091" s="467" t="s">
        <v>25</v>
      </c>
      <c r="O1091" s="469" t="s">
        <v>26</v>
      </c>
      <c r="P1091" s="465" t="s">
        <v>24</v>
      </c>
      <c r="Q1091" s="467" t="s">
        <v>25</v>
      </c>
      <c r="R1091" s="469" t="s">
        <v>26</v>
      </c>
      <c r="S1091" s="465" t="s">
        <v>24</v>
      </c>
      <c r="T1091" s="467" t="s">
        <v>25</v>
      </c>
      <c r="U1091" s="469" t="s">
        <v>26</v>
      </c>
      <c r="V1091" s="465" t="s">
        <v>24</v>
      </c>
      <c r="W1091" s="467" t="s">
        <v>25</v>
      </c>
      <c r="X1091" s="469" t="s">
        <v>26</v>
      </c>
      <c r="Y1091" s="465" t="s">
        <v>24</v>
      </c>
      <c r="Z1091" s="467" t="s">
        <v>25</v>
      </c>
      <c r="AA1091" s="469" t="s">
        <v>26</v>
      </c>
      <c r="AB1091" s="465" t="s">
        <v>24</v>
      </c>
      <c r="AC1091" s="467" t="s">
        <v>25</v>
      </c>
      <c r="AD1091" s="469" t="s">
        <v>26</v>
      </c>
      <c r="AE1091" s="465" t="s">
        <v>24</v>
      </c>
      <c r="AF1091" s="467" t="s">
        <v>25</v>
      </c>
      <c r="AG1091" s="469" t="s">
        <v>26</v>
      </c>
      <c r="AH1091" s="465" t="s">
        <v>24</v>
      </c>
      <c r="AI1091" s="467" t="s">
        <v>25</v>
      </c>
      <c r="AJ1091" s="469" t="s">
        <v>26</v>
      </c>
      <c r="AK1091" s="465" t="s">
        <v>24</v>
      </c>
      <c r="AL1091" s="467" t="s">
        <v>25</v>
      </c>
      <c r="AM1091" s="469" t="s">
        <v>26</v>
      </c>
      <c r="AN1091" s="465" t="s">
        <v>24</v>
      </c>
      <c r="AO1091" s="467" t="s">
        <v>25</v>
      </c>
      <c r="AP1091" s="469" t="s">
        <v>26</v>
      </c>
      <c r="AQ1091" s="465" t="s">
        <v>24</v>
      </c>
      <c r="AR1091" s="467" t="s">
        <v>25</v>
      </c>
      <c r="AS1091" s="469" t="s">
        <v>26</v>
      </c>
      <c r="AT1091" s="465" t="s">
        <v>24</v>
      </c>
      <c r="AU1091" s="471" t="s">
        <v>27</v>
      </c>
    </row>
    <row r="1092" spans="1:47" ht="15">
      <c r="A1092" s="489"/>
      <c r="B1092" s="491"/>
      <c r="C1092" s="491"/>
      <c r="D1092" s="491"/>
      <c r="E1092" s="491"/>
      <c r="F1092" s="493"/>
      <c r="G1092" s="466"/>
      <c r="H1092" s="468"/>
      <c r="I1092" s="470"/>
      <c r="J1092" s="466"/>
      <c r="K1092" s="468"/>
      <c r="L1092" s="470"/>
      <c r="M1092" s="466"/>
      <c r="N1092" s="468"/>
      <c r="O1092" s="470"/>
      <c r="P1092" s="466"/>
      <c r="Q1092" s="468"/>
      <c r="R1092" s="470"/>
      <c r="S1092" s="466"/>
      <c r="T1092" s="468"/>
      <c r="U1092" s="470"/>
      <c r="V1092" s="466"/>
      <c r="W1092" s="468"/>
      <c r="X1092" s="470"/>
      <c r="Y1092" s="466"/>
      <c r="Z1092" s="468"/>
      <c r="AA1092" s="470"/>
      <c r="AB1092" s="466"/>
      <c r="AC1092" s="468"/>
      <c r="AD1092" s="470"/>
      <c r="AE1092" s="466"/>
      <c r="AF1092" s="468"/>
      <c r="AG1092" s="470"/>
      <c r="AH1092" s="466"/>
      <c r="AI1092" s="468"/>
      <c r="AJ1092" s="470"/>
      <c r="AK1092" s="466"/>
      <c r="AL1092" s="468"/>
      <c r="AM1092" s="470"/>
      <c r="AN1092" s="466"/>
      <c r="AO1092" s="468"/>
      <c r="AP1092" s="470"/>
      <c r="AQ1092" s="466"/>
      <c r="AR1092" s="468"/>
      <c r="AS1092" s="470"/>
      <c r="AT1092" s="466"/>
      <c r="AU1092" s="472"/>
    </row>
    <row r="1093" spans="1:47" ht="15">
      <c r="A1093" s="473" t="s">
        <v>204</v>
      </c>
      <c r="B1093" s="476" t="s">
        <v>517</v>
      </c>
      <c r="C1093" s="479">
        <v>2539</v>
      </c>
      <c r="D1093" s="482" t="s">
        <v>518</v>
      </c>
      <c r="E1093" s="485" t="s">
        <v>519</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474"/>
      <c r="B1094" s="477"/>
      <c r="C1094" s="480"/>
      <c r="D1094" s="483"/>
      <c r="E1094" s="486"/>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474"/>
      <c r="B1095" s="477"/>
      <c r="C1095" s="480"/>
      <c r="D1095" s="483"/>
      <c r="E1095" s="486"/>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3"/>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474"/>
      <c r="B1096" s="477"/>
      <c r="C1096" s="480"/>
      <c r="D1096" s="483"/>
      <c r="E1096" s="486"/>
      <c r="F1096" s="91" t="s">
        <v>263</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474"/>
      <c r="B1097" s="477"/>
      <c r="C1097" s="480"/>
      <c r="D1097" s="483"/>
      <c r="E1097" s="486"/>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474"/>
      <c r="B1098" s="477"/>
      <c r="C1098" s="480"/>
      <c r="D1098" s="483"/>
      <c r="E1098" s="486"/>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474"/>
      <c r="B1099" s="477"/>
      <c r="C1099" s="480"/>
      <c r="D1099" s="483"/>
      <c r="E1099" s="486"/>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474"/>
      <c r="B1100" s="477"/>
      <c r="C1100" s="480"/>
      <c r="D1100" s="483"/>
      <c r="E1100" s="486"/>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474"/>
      <c r="B1101" s="477"/>
      <c r="C1101" s="480"/>
      <c r="D1101" s="483"/>
      <c r="E1101" s="486"/>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475"/>
      <c r="B1102" s="478"/>
      <c r="C1102" s="481"/>
      <c r="D1102" s="484"/>
      <c r="E1102" s="487"/>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488" t="s">
        <v>22</v>
      </c>
      <c r="B1103" s="490" t="s">
        <v>18</v>
      </c>
      <c r="C1103" s="490" t="s">
        <v>19</v>
      </c>
      <c r="D1103" s="490" t="s">
        <v>203</v>
      </c>
      <c r="E1103" s="490" t="s">
        <v>21</v>
      </c>
      <c r="F1103" s="492" t="s">
        <v>23</v>
      </c>
      <c r="G1103" s="465" t="s">
        <v>24</v>
      </c>
      <c r="H1103" s="467" t="s">
        <v>25</v>
      </c>
      <c r="I1103" s="469" t="s">
        <v>26</v>
      </c>
      <c r="J1103" s="465" t="s">
        <v>24</v>
      </c>
      <c r="K1103" s="467" t="s">
        <v>25</v>
      </c>
      <c r="L1103" s="469" t="s">
        <v>26</v>
      </c>
      <c r="M1103" s="465" t="s">
        <v>24</v>
      </c>
      <c r="N1103" s="467" t="s">
        <v>25</v>
      </c>
      <c r="O1103" s="469" t="s">
        <v>26</v>
      </c>
      <c r="P1103" s="465" t="s">
        <v>24</v>
      </c>
      <c r="Q1103" s="467" t="s">
        <v>25</v>
      </c>
      <c r="R1103" s="469" t="s">
        <v>26</v>
      </c>
      <c r="S1103" s="465" t="s">
        <v>24</v>
      </c>
      <c r="T1103" s="467" t="s">
        <v>25</v>
      </c>
      <c r="U1103" s="469" t="s">
        <v>26</v>
      </c>
      <c r="V1103" s="465" t="s">
        <v>24</v>
      </c>
      <c r="W1103" s="467" t="s">
        <v>25</v>
      </c>
      <c r="X1103" s="469" t="s">
        <v>26</v>
      </c>
      <c r="Y1103" s="465" t="s">
        <v>24</v>
      </c>
      <c r="Z1103" s="467" t="s">
        <v>25</v>
      </c>
      <c r="AA1103" s="469" t="s">
        <v>26</v>
      </c>
      <c r="AB1103" s="465" t="s">
        <v>24</v>
      </c>
      <c r="AC1103" s="467" t="s">
        <v>25</v>
      </c>
      <c r="AD1103" s="469" t="s">
        <v>26</v>
      </c>
      <c r="AE1103" s="465" t="s">
        <v>24</v>
      </c>
      <c r="AF1103" s="467" t="s">
        <v>25</v>
      </c>
      <c r="AG1103" s="469" t="s">
        <v>26</v>
      </c>
      <c r="AH1103" s="465" t="s">
        <v>24</v>
      </c>
      <c r="AI1103" s="467" t="s">
        <v>25</v>
      </c>
      <c r="AJ1103" s="469" t="s">
        <v>26</v>
      </c>
      <c r="AK1103" s="465" t="s">
        <v>24</v>
      </c>
      <c r="AL1103" s="467" t="s">
        <v>25</v>
      </c>
      <c r="AM1103" s="469" t="s">
        <v>26</v>
      </c>
      <c r="AN1103" s="465" t="s">
        <v>24</v>
      </c>
      <c r="AO1103" s="467" t="s">
        <v>25</v>
      </c>
      <c r="AP1103" s="469" t="s">
        <v>26</v>
      </c>
      <c r="AQ1103" s="465" t="s">
        <v>24</v>
      </c>
      <c r="AR1103" s="467" t="s">
        <v>25</v>
      </c>
      <c r="AS1103" s="469" t="s">
        <v>26</v>
      </c>
      <c r="AT1103" s="465" t="s">
        <v>24</v>
      </c>
      <c r="AU1103" s="471" t="s">
        <v>27</v>
      </c>
    </row>
    <row r="1104" spans="1:47" ht="25.5" customHeight="1">
      <c r="A1104" s="489"/>
      <c r="B1104" s="491"/>
      <c r="C1104" s="491"/>
      <c r="D1104" s="491"/>
      <c r="E1104" s="491"/>
      <c r="F1104" s="493"/>
      <c r="G1104" s="466"/>
      <c r="H1104" s="468"/>
      <c r="I1104" s="470"/>
      <c r="J1104" s="466"/>
      <c r="K1104" s="468"/>
      <c r="L1104" s="470"/>
      <c r="M1104" s="466"/>
      <c r="N1104" s="468"/>
      <c r="O1104" s="470"/>
      <c r="P1104" s="466"/>
      <c r="Q1104" s="468"/>
      <c r="R1104" s="470"/>
      <c r="S1104" s="466"/>
      <c r="T1104" s="468"/>
      <c r="U1104" s="470"/>
      <c r="V1104" s="466"/>
      <c r="W1104" s="468"/>
      <c r="X1104" s="470"/>
      <c r="Y1104" s="466"/>
      <c r="Z1104" s="468"/>
      <c r="AA1104" s="470"/>
      <c r="AB1104" s="466"/>
      <c r="AC1104" s="468"/>
      <c r="AD1104" s="470"/>
      <c r="AE1104" s="466"/>
      <c r="AF1104" s="468"/>
      <c r="AG1104" s="470"/>
      <c r="AH1104" s="466"/>
      <c r="AI1104" s="468"/>
      <c r="AJ1104" s="470"/>
      <c r="AK1104" s="466"/>
      <c r="AL1104" s="468"/>
      <c r="AM1104" s="470"/>
      <c r="AN1104" s="466"/>
      <c r="AO1104" s="468"/>
      <c r="AP1104" s="470"/>
      <c r="AQ1104" s="466"/>
      <c r="AR1104" s="468"/>
      <c r="AS1104" s="470"/>
      <c r="AT1104" s="466"/>
      <c r="AU1104" s="472"/>
    </row>
    <row r="1105" spans="1:47" ht="14.45" customHeight="1">
      <c r="A1105" s="473" t="s">
        <v>520</v>
      </c>
      <c r="B1105" s="476" t="s">
        <v>521</v>
      </c>
      <c r="C1105" s="479">
        <v>2982</v>
      </c>
      <c r="D1105" s="482" t="s">
        <v>522</v>
      </c>
      <c r="E1105" s="485" t="s">
        <v>523</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474"/>
      <c r="B1106" s="477"/>
      <c r="C1106" s="480"/>
      <c r="D1106" s="483"/>
      <c r="E1106" s="486"/>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474"/>
      <c r="B1107" s="477"/>
      <c r="C1107" s="480"/>
      <c r="D1107" s="483"/>
      <c r="E1107" s="486"/>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3"/>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474"/>
      <c r="B1108" s="477"/>
      <c r="C1108" s="480"/>
      <c r="D1108" s="483"/>
      <c r="E1108" s="486"/>
      <c r="F1108" s="91" t="s">
        <v>263</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474"/>
      <c r="B1109" s="477"/>
      <c r="C1109" s="480"/>
      <c r="D1109" s="483"/>
      <c r="E1109" s="486"/>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474"/>
      <c r="B1110" s="477"/>
      <c r="C1110" s="480"/>
      <c r="D1110" s="483"/>
      <c r="E1110" s="486"/>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474"/>
      <c r="B1111" s="477"/>
      <c r="C1111" s="480"/>
      <c r="D1111" s="483"/>
      <c r="E1111" s="486"/>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474"/>
      <c r="B1112" s="477"/>
      <c r="C1112" s="480"/>
      <c r="D1112" s="483"/>
      <c r="E1112" s="486"/>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474"/>
      <c r="B1113" s="477"/>
      <c r="C1113" s="480"/>
      <c r="D1113" s="483"/>
      <c r="E1113" s="486"/>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475"/>
      <c r="B1114" s="478"/>
      <c r="C1114" s="481"/>
      <c r="D1114" s="484"/>
      <c r="E1114" s="487"/>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538" t="s">
        <v>22</v>
      </c>
      <c r="B1115" s="524" t="s">
        <v>18</v>
      </c>
      <c r="C1115" s="524" t="s">
        <v>19</v>
      </c>
      <c r="D1115" s="524" t="s">
        <v>203</v>
      </c>
      <c r="E1115" s="524" t="s">
        <v>21</v>
      </c>
      <c r="F1115" s="542" t="s">
        <v>23</v>
      </c>
      <c r="G1115" s="504" t="s">
        <v>24</v>
      </c>
      <c r="H1115" s="494" t="s">
        <v>25</v>
      </c>
      <c r="I1115" s="496" t="s">
        <v>26</v>
      </c>
      <c r="J1115" s="504" t="s">
        <v>24</v>
      </c>
      <c r="K1115" s="494" t="s">
        <v>25</v>
      </c>
      <c r="L1115" s="496" t="s">
        <v>26</v>
      </c>
      <c r="M1115" s="504" t="s">
        <v>24</v>
      </c>
      <c r="N1115" s="494" t="s">
        <v>25</v>
      </c>
      <c r="O1115" s="496" t="s">
        <v>26</v>
      </c>
      <c r="P1115" s="504" t="s">
        <v>24</v>
      </c>
      <c r="Q1115" s="494" t="s">
        <v>25</v>
      </c>
      <c r="R1115" s="496" t="s">
        <v>26</v>
      </c>
      <c r="S1115" s="504" t="s">
        <v>24</v>
      </c>
      <c r="T1115" s="494" t="s">
        <v>25</v>
      </c>
      <c r="U1115" s="496" t="s">
        <v>26</v>
      </c>
      <c r="V1115" s="504" t="s">
        <v>24</v>
      </c>
      <c r="W1115" s="494" t="s">
        <v>25</v>
      </c>
      <c r="X1115" s="534" t="s">
        <v>26</v>
      </c>
      <c r="Y1115" s="504" t="s">
        <v>24</v>
      </c>
      <c r="Z1115" s="494" t="s">
        <v>25</v>
      </c>
      <c r="AA1115" s="496" t="s">
        <v>26</v>
      </c>
      <c r="AB1115" s="504" t="s">
        <v>24</v>
      </c>
      <c r="AC1115" s="494" t="s">
        <v>25</v>
      </c>
      <c r="AD1115" s="496" t="s">
        <v>26</v>
      </c>
      <c r="AE1115" s="504" t="s">
        <v>24</v>
      </c>
      <c r="AF1115" s="494" t="s">
        <v>25</v>
      </c>
      <c r="AG1115" s="496" t="s">
        <v>26</v>
      </c>
      <c r="AH1115" s="504" t="s">
        <v>24</v>
      </c>
      <c r="AI1115" s="494" t="s">
        <v>25</v>
      </c>
      <c r="AJ1115" s="496" t="s">
        <v>26</v>
      </c>
      <c r="AK1115" s="504" t="s">
        <v>24</v>
      </c>
      <c r="AL1115" s="494" t="s">
        <v>25</v>
      </c>
      <c r="AM1115" s="496" t="s">
        <v>26</v>
      </c>
      <c r="AN1115" s="504" t="s">
        <v>24</v>
      </c>
      <c r="AO1115" s="494" t="s">
        <v>25</v>
      </c>
      <c r="AP1115" s="496" t="s">
        <v>26</v>
      </c>
      <c r="AQ1115" s="504" t="s">
        <v>24</v>
      </c>
      <c r="AR1115" s="494" t="s">
        <v>25</v>
      </c>
      <c r="AS1115" s="496" t="s">
        <v>26</v>
      </c>
      <c r="AT1115" s="536" t="s">
        <v>24</v>
      </c>
      <c r="AU1115" s="544" t="s">
        <v>27</v>
      </c>
    </row>
    <row r="1116" spans="1:47" ht="15" customHeight="1">
      <c r="A1116" s="539"/>
      <c r="B1116" s="525"/>
      <c r="C1116" s="525"/>
      <c r="D1116" s="525"/>
      <c r="E1116" s="525"/>
      <c r="F1116" s="543"/>
      <c r="G1116" s="505"/>
      <c r="H1116" s="495"/>
      <c r="I1116" s="497"/>
      <c r="J1116" s="505"/>
      <c r="K1116" s="495"/>
      <c r="L1116" s="497"/>
      <c r="M1116" s="505"/>
      <c r="N1116" s="495"/>
      <c r="O1116" s="497"/>
      <c r="P1116" s="505"/>
      <c r="Q1116" s="495"/>
      <c r="R1116" s="497"/>
      <c r="S1116" s="505"/>
      <c r="T1116" s="495"/>
      <c r="U1116" s="497"/>
      <c r="V1116" s="505"/>
      <c r="W1116" s="495"/>
      <c r="X1116" s="535"/>
      <c r="Y1116" s="505"/>
      <c r="Z1116" s="495"/>
      <c r="AA1116" s="497"/>
      <c r="AB1116" s="505"/>
      <c r="AC1116" s="495"/>
      <c r="AD1116" s="497"/>
      <c r="AE1116" s="505"/>
      <c r="AF1116" s="495"/>
      <c r="AG1116" s="497"/>
      <c r="AH1116" s="505"/>
      <c r="AI1116" s="495"/>
      <c r="AJ1116" s="497"/>
      <c r="AK1116" s="505"/>
      <c r="AL1116" s="495"/>
      <c r="AM1116" s="497"/>
      <c r="AN1116" s="505"/>
      <c r="AO1116" s="495"/>
      <c r="AP1116" s="497"/>
      <c r="AQ1116" s="505"/>
      <c r="AR1116" s="495"/>
      <c r="AS1116" s="497"/>
      <c r="AT1116" s="537"/>
      <c r="AU1116" s="545"/>
    </row>
    <row r="1117" spans="1:47" ht="15" customHeight="1">
      <c r="A1117" s="526" t="s">
        <v>520</v>
      </c>
      <c r="B1117" s="540" t="s">
        <v>524</v>
      </c>
      <c r="C1117" s="528">
        <v>2225</v>
      </c>
      <c r="D1117" s="556" t="s">
        <v>525</v>
      </c>
      <c r="E1117" s="532" t="s">
        <v>526</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526"/>
      <c r="B1118" s="540"/>
      <c r="C1118" s="528"/>
      <c r="D1118" s="556"/>
      <c r="E1118" s="532"/>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526"/>
      <c r="B1119" s="540"/>
      <c r="C1119" s="528"/>
      <c r="D1119" s="556"/>
      <c r="E1119" s="532"/>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526"/>
      <c r="B1120" s="540"/>
      <c r="C1120" s="528"/>
      <c r="D1120" s="556"/>
      <c r="E1120" s="532"/>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526"/>
      <c r="B1121" s="540"/>
      <c r="C1121" s="528"/>
      <c r="D1121" s="556"/>
      <c r="E1121" s="532"/>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526"/>
      <c r="B1122" s="540"/>
      <c r="C1122" s="528"/>
      <c r="D1122" s="556"/>
      <c r="E1122" s="532"/>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526"/>
      <c r="B1123" s="540"/>
      <c r="C1123" s="528"/>
      <c r="D1123" s="556"/>
      <c r="E1123" s="532"/>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526"/>
      <c r="B1124" s="540"/>
      <c r="C1124" s="528"/>
      <c r="D1124" s="556"/>
      <c r="E1124" s="532"/>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527"/>
      <c r="B1125" s="541"/>
      <c r="C1125" s="529"/>
      <c r="D1125" s="559"/>
      <c r="E1125" s="533"/>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538" t="s">
        <v>22</v>
      </c>
      <c r="B1126" s="524" t="s">
        <v>18</v>
      </c>
      <c r="C1126" s="524" t="s">
        <v>19</v>
      </c>
      <c r="D1126" s="524" t="s">
        <v>203</v>
      </c>
      <c r="E1126" s="524" t="s">
        <v>21</v>
      </c>
      <c r="F1126" s="467" t="s">
        <v>23</v>
      </c>
      <c r="G1126" s="504" t="s">
        <v>24</v>
      </c>
      <c r="H1126" s="494" t="s">
        <v>25</v>
      </c>
      <c r="I1126" s="496" t="s">
        <v>26</v>
      </c>
      <c r="J1126" s="504" t="s">
        <v>24</v>
      </c>
      <c r="K1126" s="494" t="s">
        <v>25</v>
      </c>
      <c r="L1126" s="496" t="s">
        <v>26</v>
      </c>
      <c r="M1126" s="504" t="s">
        <v>24</v>
      </c>
      <c r="N1126" s="494" t="s">
        <v>25</v>
      </c>
      <c r="O1126" s="496" t="s">
        <v>26</v>
      </c>
      <c r="P1126" s="504" t="s">
        <v>24</v>
      </c>
      <c r="Q1126" s="494" t="s">
        <v>25</v>
      </c>
      <c r="R1126" s="496" t="s">
        <v>26</v>
      </c>
      <c r="S1126" s="504" t="s">
        <v>24</v>
      </c>
      <c r="T1126" s="494" t="s">
        <v>25</v>
      </c>
      <c r="U1126" s="496" t="s">
        <v>26</v>
      </c>
      <c r="V1126" s="504" t="s">
        <v>24</v>
      </c>
      <c r="W1126" s="494" t="s">
        <v>25</v>
      </c>
      <c r="X1126" s="496" t="s">
        <v>26</v>
      </c>
      <c r="Y1126" s="504" t="s">
        <v>24</v>
      </c>
      <c r="Z1126" s="494" t="s">
        <v>25</v>
      </c>
      <c r="AA1126" s="496" t="s">
        <v>26</v>
      </c>
      <c r="AB1126" s="504" t="s">
        <v>24</v>
      </c>
      <c r="AC1126" s="494" t="s">
        <v>25</v>
      </c>
      <c r="AD1126" s="496" t="s">
        <v>26</v>
      </c>
      <c r="AE1126" s="504" t="s">
        <v>24</v>
      </c>
      <c r="AF1126" s="494" t="s">
        <v>25</v>
      </c>
      <c r="AG1126" s="496" t="s">
        <v>26</v>
      </c>
      <c r="AH1126" s="504" t="s">
        <v>24</v>
      </c>
      <c r="AI1126" s="494" t="s">
        <v>25</v>
      </c>
      <c r="AJ1126" s="496" t="s">
        <v>26</v>
      </c>
      <c r="AK1126" s="504" t="s">
        <v>24</v>
      </c>
      <c r="AL1126" s="494" t="s">
        <v>25</v>
      </c>
      <c r="AM1126" s="496" t="s">
        <v>26</v>
      </c>
      <c r="AN1126" s="504" t="s">
        <v>24</v>
      </c>
      <c r="AO1126" s="494" t="s">
        <v>25</v>
      </c>
      <c r="AP1126" s="496" t="s">
        <v>26</v>
      </c>
      <c r="AQ1126" s="504" t="s">
        <v>24</v>
      </c>
      <c r="AR1126" s="494" t="s">
        <v>25</v>
      </c>
      <c r="AS1126" s="496" t="s">
        <v>26</v>
      </c>
      <c r="AT1126" s="536" t="s">
        <v>24</v>
      </c>
      <c r="AU1126" s="544" t="s">
        <v>27</v>
      </c>
    </row>
    <row r="1127" spans="1:47" ht="15">
      <c r="A1127" s="539"/>
      <c r="B1127" s="525"/>
      <c r="C1127" s="525"/>
      <c r="D1127" s="525"/>
      <c r="E1127" s="525"/>
      <c r="F1127" s="468"/>
      <c r="G1127" s="505"/>
      <c r="H1127" s="495"/>
      <c r="I1127" s="497"/>
      <c r="J1127" s="505"/>
      <c r="K1127" s="495"/>
      <c r="L1127" s="497"/>
      <c r="M1127" s="505"/>
      <c r="N1127" s="495"/>
      <c r="O1127" s="497"/>
      <c r="P1127" s="505"/>
      <c r="Q1127" s="495"/>
      <c r="R1127" s="497"/>
      <c r="S1127" s="505"/>
      <c r="T1127" s="495"/>
      <c r="U1127" s="497"/>
      <c r="V1127" s="505"/>
      <c r="W1127" s="495"/>
      <c r="X1127" s="497"/>
      <c r="Y1127" s="505"/>
      <c r="Z1127" s="495"/>
      <c r="AA1127" s="497"/>
      <c r="AB1127" s="505"/>
      <c r="AC1127" s="495"/>
      <c r="AD1127" s="497"/>
      <c r="AE1127" s="505"/>
      <c r="AF1127" s="495"/>
      <c r="AG1127" s="497"/>
      <c r="AH1127" s="505"/>
      <c r="AI1127" s="495"/>
      <c r="AJ1127" s="497"/>
      <c r="AK1127" s="505"/>
      <c r="AL1127" s="495"/>
      <c r="AM1127" s="497"/>
      <c r="AN1127" s="505"/>
      <c r="AO1127" s="495"/>
      <c r="AP1127" s="497"/>
      <c r="AQ1127" s="505"/>
      <c r="AR1127" s="495"/>
      <c r="AS1127" s="497"/>
      <c r="AT1127" s="537"/>
      <c r="AU1127" s="545"/>
    </row>
    <row r="1128" spans="1:47" ht="15" customHeight="1">
      <c r="A1128" s="526" t="s">
        <v>204</v>
      </c>
      <c r="B1128" s="540" t="s">
        <v>218</v>
      </c>
      <c r="C1128" s="528">
        <v>2980</v>
      </c>
      <c r="D1128" s="530" t="s">
        <v>219</v>
      </c>
      <c r="E1128" s="532" t="s">
        <v>220</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526"/>
      <c r="B1129" s="540"/>
      <c r="C1129" s="528"/>
      <c r="D1129" s="530"/>
      <c r="E1129" s="532"/>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526"/>
      <c r="B1130" s="540"/>
      <c r="C1130" s="528"/>
      <c r="D1130" s="530"/>
      <c r="E1130" s="532"/>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526"/>
      <c r="B1131" s="540"/>
      <c r="C1131" s="528"/>
      <c r="D1131" s="530"/>
      <c r="E1131" s="532"/>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526"/>
      <c r="B1132" s="540"/>
      <c r="C1132" s="528"/>
      <c r="D1132" s="530"/>
      <c r="E1132" s="532"/>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526"/>
      <c r="B1133" s="540"/>
      <c r="C1133" s="528"/>
      <c r="D1133" s="530"/>
      <c r="E1133" s="532"/>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526"/>
      <c r="B1134" s="540"/>
      <c r="C1134" s="528"/>
      <c r="D1134" s="530"/>
      <c r="E1134" s="532"/>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526"/>
      <c r="B1135" s="540"/>
      <c r="C1135" s="528"/>
      <c r="D1135" s="530"/>
      <c r="E1135" s="532"/>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527"/>
      <c r="B1136" s="541"/>
      <c r="C1136" s="529"/>
      <c r="D1136" s="531"/>
      <c r="E1136" s="533"/>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538" t="s">
        <v>22</v>
      </c>
      <c r="B1137" s="524" t="s">
        <v>18</v>
      </c>
      <c r="C1137" s="524" t="s">
        <v>19</v>
      </c>
      <c r="D1137" s="524" t="s">
        <v>203</v>
      </c>
      <c r="E1137" s="524" t="s">
        <v>21</v>
      </c>
      <c r="F1137" s="467" t="s">
        <v>23</v>
      </c>
      <c r="G1137" s="504" t="s">
        <v>24</v>
      </c>
      <c r="H1137" s="494" t="s">
        <v>25</v>
      </c>
      <c r="I1137" s="496" t="s">
        <v>26</v>
      </c>
      <c r="J1137" s="504" t="s">
        <v>24</v>
      </c>
      <c r="K1137" s="494" t="s">
        <v>25</v>
      </c>
      <c r="L1137" s="496" t="s">
        <v>26</v>
      </c>
      <c r="M1137" s="504" t="s">
        <v>24</v>
      </c>
      <c r="N1137" s="494" t="s">
        <v>25</v>
      </c>
      <c r="O1137" s="496" t="s">
        <v>26</v>
      </c>
      <c r="P1137" s="504" t="s">
        <v>24</v>
      </c>
      <c r="Q1137" s="494" t="s">
        <v>25</v>
      </c>
      <c r="R1137" s="496" t="s">
        <v>26</v>
      </c>
      <c r="S1137" s="504" t="s">
        <v>24</v>
      </c>
      <c r="T1137" s="494" t="s">
        <v>25</v>
      </c>
      <c r="U1137" s="496" t="s">
        <v>26</v>
      </c>
      <c r="V1137" s="504" t="s">
        <v>24</v>
      </c>
      <c r="W1137" s="494" t="s">
        <v>25</v>
      </c>
      <c r="X1137" s="496" t="s">
        <v>26</v>
      </c>
      <c r="Y1137" s="504" t="s">
        <v>24</v>
      </c>
      <c r="Z1137" s="494" t="s">
        <v>25</v>
      </c>
      <c r="AA1137" s="496" t="s">
        <v>26</v>
      </c>
      <c r="AB1137" s="504" t="s">
        <v>24</v>
      </c>
      <c r="AC1137" s="494" t="s">
        <v>25</v>
      </c>
      <c r="AD1137" s="496" t="s">
        <v>26</v>
      </c>
      <c r="AE1137" s="504" t="s">
        <v>24</v>
      </c>
      <c r="AF1137" s="494" t="s">
        <v>25</v>
      </c>
      <c r="AG1137" s="496" t="s">
        <v>26</v>
      </c>
      <c r="AH1137" s="504" t="s">
        <v>24</v>
      </c>
      <c r="AI1137" s="494" t="s">
        <v>25</v>
      </c>
      <c r="AJ1137" s="496" t="s">
        <v>26</v>
      </c>
      <c r="AK1137" s="504" t="s">
        <v>24</v>
      </c>
      <c r="AL1137" s="494" t="s">
        <v>25</v>
      </c>
      <c r="AM1137" s="496" t="s">
        <v>26</v>
      </c>
      <c r="AN1137" s="504" t="s">
        <v>24</v>
      </c>
      <c r="AO1137" s="494" t="s">
        <v>25</v>
      </c>
      <c r="AP1137" s="496" t="s">
        <v>26</v>
      </c>
      <c r="AQ1137" s="504" t="s">
        <v>24</v>
      </c>
      <c r="AR1137" s="494" t="s">
        <v>25</v>
      </c>
      <c r="AS1137" s="496" t="s">
        <v>26</v>
      </c>
      <c r="AT1137" s="536" t="s">
        <v>24</v>
      </c>
      <c r="AU1137" s="544" t="s">
        <v>27</v>
      </c>
    </row>
    <row r="1138" spans="1:47" ht="15">
      <c r="A1138" s="539"/>
      <c r="B1138" s="525"/>
      <c r="C1138" s="525"/>
      <c r="D1138" s="525"/>
      <c r="E1138" s="525"/>
      <c r="F1138" s="468"/>
      <c r="G1138" s="505"/>
      <c r="H1138" s="495"/>
      <c r="I1138" s="497"/>
      <c r="J1138" s="505"/>
      <c r="K1138" s="495"/>
      <c r="L1138" s="497"/>
      <c r="M1138" s="505"/>
      <c r="N1138" s="495"/>
      <c r="O1138" s="497"/>
      <c r="P1138" s="505"/>
      <c r="Q1138" s="495"/>
      <c r="R1138" s="497"/>
      <c r="S1138" s="505"/>
      <c r="T1138" s="495"/>
      <c r="U1138" s="497"/>
      <c r="V1138" s="505"/>
      <c r="W1138" s="495"/>
      <c r="X1138" s="497"/>
      <c r="Y1138" s="505"/>
      <c r="Z1138" s="495"/>
      <c r="AA1138" s="497"/>
      <c r="AB1138" s="505"/>
      <c r="AC1138" s="495"/>
      <c r="AD1138" s="497"/>
      <c r="AE1138" s="505"/>
      <c r="AF1138" s="495"/>
      <c r="AG1138" s="497"/>
      <c r="AH1138" s="505"/>
      <c r="AI1138" s="495"/>
      <c r="AJ1138" s="497"/>
      <c r="AK1138" s="505"/>
      <c r="AL1138" s="495"/>
      <c r="AM1138" s="497"/>
      <c r="AN1138" s="505"/>
      <c r="AO1138" s="495"/>
      <c r="AP1138" s="497"/>
      <c r="AQ1138" s="505"/>
      <c r="AR1138" s="495"/>
      <c r="AS1138" s="497"/>
      <c r="AT1138" s="537"/>
      <c r="AU1138" s="545"/>
    </row>
    <row r="1139" spans="1:47" ht="15" customHeight="1">
      <c r="A1139" s="526" t="s">
        <v>88</v>
      </c>
      <c r="B1139" s="540" t="s">
        <v>527</v>
      </c>
      <c r="C1139" s="528">
        <v>3137</v>
      </c>
      <c r="D1139" s="530"/>
      <c r="E1139" s="532" t="s">
        <v>528</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526"/>
      <c r="B1140" s="540"/>
      <c r="C1140" s="528"/>
      <c r="D1140" s="530"/>
      <c r="E1140" s="532"/>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526"/>
      <c r="B1141" s="540"/>
      <c r="C1141" s="528"/>
      <c r="D1141" s="530"/>
      <c r="E1141" s="532"/>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526"/>
      <c r="B1142" s="540"/>
      <c r="C1142" s="528"/>
      <c r="D1142" s="530"/>
      <c r="E1142" s="532"/>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526"/>
      <c r="B1143" s="540"/>
      <c r="C1143" s="528"/>
      <c r="D1143" s="530"/>
      <c r="E1143" s="532"/>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526"/>
      <c r="B1144" s="540"/>
      <c r="C1144" s="528"/>
      <c r="D1144" s="530"/>
      <c r="E1144" s="532"/>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526"/>
      <c r="B1145" s="540"/>
      <c r="C1145" s="528"/>
      <c r="D1145" s="530"/>
      <c r="E1145" s="532"/>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526"/>
      <c r="B1146" s="540"/>
      <c r="C1146" s="528"/>
      <c r="D1146" s="530"/>
      <c r="E1146" s="532"/>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527"/>
      <c r="B1147" s="541"/>
      <c r="C1147" s="529"/>
      <c r="D1147" s="531"/>
      <c r="E1147" s="533"/>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538" t="s">
        <v>22</v>
      </c>
      <c r="B1148" s="524" t="s">
        <v>18</v>
      </c>
      <c r="C1148" s="524" t="s">
        <v>19</v>
      </c>
      <c r="D1148" s="524" t="s">
        <v>203</v>
      </c>
      <c r="E1148" s="524" t="s">
        <v>21</v>
      </c>
      <c r="F1148" s="467" t="s">
        <v>23</v>
      </c>
      <c r="G1148" s="504" t="s">
        <v>24</v>
      </c>
      <c r="H1148" s="494" t="s">
        <v>25</v>
      </c>
      <c r="I1148" s="496" t="s">
        <v>26</v>
      </c>
      <c r="J1148" s="504" t="s">
        <v>24</v>
      </c>
      <c r="K1148" s="494" t="s">
        <v>25</v>
      </c>
      <c r="L1148" s="496" t="s">
        <v>26</v>
      </c>
      <c r="M1148" s="504" t="s">
        <v>24</v>
      </c>
      <c r="N1148" s="494" t="s">
        <v>25</v>
      </c>
      <c r="O1148" s="496" t="s">
        <v>26</v>
      </c>
      <c r="P1148" s="504" t="s">
        <v>24</v>
      </c>
      <c r="Q1148" s="494" t="s">
        <v>25</v>
      </c>
      <c r="R1148" s="496" t="s">
        <v>26</v>
      </c>
      <c r="S1148" s="504" t="s">
        <v>24</v>
      </c>
      <c r="T1148" s="494" t="s">
        <v>25</v>
      </c>
      <c r="U1148" s="496" t="s">
        <v>26</v>
      </c>
      <c r="V1148" s="504" t="s">
        <v>24</v>
      </c>
      <c r="W1148" s="494" t="s">
        <v>25</v>
      </c>
      <c r="X1148" s="496" t="s">
        <v>26</v>
      </c>
      <c r="Y1148" s="504" t="s">
        <v>24</v>
      </c>
      <c r="Z1148" s="494" t="s">
        <v>25</v>
      </c>
      <c r="AA1148" s="496" t="s">
        <v>26</v>
      </c>
      <c r="AB1148" s="504" t="s">
        <v>24</v>
      </c>
      <c r="AC1148" s="494" t="s">
        <v>25</v>
      </c>
      <c r="AD1148" s="496" t="s">
        <v>26</v>
      </c>
      <c r="AE1148" s="504" t="s">
        <v>24</v>
      </c>
      <c r="AF1148" s="494" t="s">
        <v>25</v>
      </c>
      <c r="AG1148" s="496" t="s">
        <v>26</v>
      </c>
      <c r="AH1148" s="504" t="s">
        <v>24</v>
      </c>
      <c r="AI1148" s="494" t="s">
        <v>25</v>
      </c>
      <c r="AJ1148" s="496" t="s">
        <v>26</v>
      </c>
      <c r="AK1148" s="504" t="s">
        <v>24</v>
      </c>
      <c r="AL1148" s="494" t="s">
        <v>25</v>
      </c>
      <c r="AM1148" s="496" t="s">
        <v>26</v>
      </c>
      <c r="AN1148" s="504" t="s">
        <v>24</v>
      </c>
      <c r="AO1148" s="494" t="s">
        <v>25</v>
      </c>
      <c r="AP1148" s="496" t="s">
        <v>26</v>
      </c>
      <c r="AQ1148" s="504" t="s">
        <v>24</v>
      </c>
      <c r="AR1148" s="494" t="s">
        <v>25</v>
      </c>
      <c r="AS1148" s="496" t="s">
        <v>26</v>
      </c>
      <c r="AT1148" s="536" t="s">
        <v>24</v>
      </c>
      <c r="AU1148" s="544" t="s">
        <v>27</v>
      </c>
    </row>
    <row r="1149" spans="1:47" ht="15">
      <c r="A1149" s="539"/>
      <c r="B1149" s="525"/>
      <c r="C1149" s="525"/>
      <c r="D1149" s="525"/>
      <c r="E1149" s="525"/>
      <c r="F1149" s="468"/>
      <c r="G1149" s="505"/>
      <c r="H1149" s="495"/>
      <c r="I1149" s="497"/>
      <c r="J1149" s="505"/>
      <c r="K1149" s="495"/>
      <c r="L1149" s="497"/>
      <c r="M1149" s="505"/>
      <c r="N1149" s="495"/>
      <c r="O1149" s="497"/>
      <c r="P1149" s="505"/>
      <c r="Q1149" s="495"/>
      <c r="R1149" s="497"/>
      <c r="S1149" s="505"/>
      <c r="T1149" s="495"/>
      <c r="U1149" s="497"/>
      <c r="V1149" s="505"/>
      <c r="W1149" s="495"/>
      <c r="X1149" s="497"/>
      <c r="Y1149" s="505"/>
      <c r="Z1149" s="495"/>
      <c r="AA1149" s="497"/>
      <c r="AB1149" s="505"/>
      <c r="AC1149" s="495"/>
      <c r="AD1149" s="497"/>
      <c r="AE1149" s="505"/>
      <c r="AF1149" s="495"/>
      <c r="AG1149" s="497"/>
      <c r="AH1149" s="505"/>
      <c r="AI1149" s="495"/>
      <c r="AJ1149" s="497"/>
      <c r="AK1149" s="505"/>
      <c r="AL1149" s="495"/>
      <c r="AM1149" s="497"/>
      <c r="AN1149" s="505"/>
      <c r="AO1149" s="495"/>
      <c r="AP1149" s="497"/>
      <c r="AQ1149" s="505"/>
      <c r="AR1149" s="495"/>
      <c r="AS1149" s="497"/>
      <c r="AT1149" s="537"/>
      <c r="AU1149" s="545"/>
    </row>
    <row r="1150" spans="1:47" ht="15" customHeight="1">
      <c r="A1150" s="526" t="s">
        <v>88</v>
      </c>
      <c r="B1150" s="540" t="s">
        <v>529</v>
      </c>
      <c r="C1150" s="528">
        <v>3129</v>
      </c>
      <c r="D1150" s="530"/>
      <c r="E1150" s="532" t="s">
        <v>530</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526"/>
      <c r="B1151" s="540"/>
      <c r="C1151" s="528"/>
      <c r="D1151" s="530"/>
      <c r="E1151" s="532"/>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526"/>
      <c r="B1152" s="540"/>
      <c r="C1152" s="528"/>
      <c r="D1152" s="530"/>
      <c r="E1152" s="532"/>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0</v>
      </c>
      <c r="AJ1152" s="104">
        <v>50000</v>
      </c>
      <c r="AK1152" s="103"/>
      <c r="AL1152" s="75">
        <f t="shared" si="1409"/>
        <v>0</v>
      </c>
      <c r="AM1152" s="104"/>
      <c r="AN1152" s="103"/>
      <c r="AO1152" s="75">
        <f t="shared" si="1410"/>
        <v>0</v>
      </c>
      <c r="AP1152" s="104"/>
      <c r="AQ1152" s="103"/>
      <c r="AR1152" s="75">
        <f t="shared" si="1411"/>
        <v>0</v>
      </c>
      <c r="AS1152" s="104"/>
      <c r="AT1152" s="98"/>
      <c r="AU1152" s="79" t="s">
        <v>35</v>
      </c>
    </row>
    <row r="1153" spans="1:47" ht="15">
      <c r="A1153" s="526"/>
      <c r="B1153" s="540"/>
      <c r="C1153" s="528"/>
      <c r="D1153" s="530"/>
      <c r="E1153" s="532"/>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0</v>
      </c>
    </row>
    <row r="1154" spans="1:47" ht="15">
      <c r="A1154" s="526"/>
      <c r="B1154" s="540"/>
      <c r="C1154" s="528"/>
      <c r="D1154" s="530"/>
      <c r="E1154" s="532"/>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526"/>
      <c r="B1155" s="540"/>
      <c r="C1155" s="528"/>
      <c r="D1155" s="530"/>
      <c r="E1155" s="532"/>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526"/>
      <c r="B1156" s="540"/>
      <c r="C1156" s="528"/>
      <c r="D1156" s="530"/>
      <c r="E1156" s="532"/>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526"/>
      <c r="B1157" s="540"/>
      <c r="C1157" s="528"/>
      <c r="D1157" s="530"/>
      <c r="E1157" s="532"/>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527"/>
      <c r="B1158" s="541"/>
      <c r="C1158" s="529"/>
      <c r="D1158" s="531"/>
      <c r="E1158" s="533"/>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569" t="s">
        <v>520</v>
      </c>
      <c r="B1159" s="648" t="s">
        <v>531</v>
      </c>
      <c r="C1159" s="572">
        <v>2585</v>
      </c>
      <c r="D1159" s="575" t="s">
        <v>532</v>
      </c>
      <c r="E1159" s="578" t="s">
        <v>533</v>
      </c>
      <c r="F1159" s="211" t="s">
        <v>31</v>
      </c>
      <c r="G1159" s="212"/>
      <c r="H1159" s="213">
        <f t="shared" ref="H1159:H1167" si="1412">G1159-I1159</f>
        <v>0</v>
      </c>
      <c r="I1159" s="214"/>
      <c r="J1159" s="212"/>
      <c r="K1159" s="213">
        <f t="shared" ref="K1159:K1167" si="1413">J1159-L1159</f>
        <v>0</v>
      </c>
      <c r="L1159" s="214"/>
      <c r="M1159" s="212"/>
      <c r="N1159" s="213">
        <f t="shared" ref="N1159:N1167" si="1414">M1159-O1159</f>
        <v>0</v>
      </c>
      <c r="O1159" s="214"/>
      <c r="P1159" s="212"/>
      <c r="Q1159" s="213">
        <f t="shared" ref="Q1159:Q1167" si="1415">P1159-R1159</f>
        <v>0</v>
      </c>
      <c r="R1159" s="214"/>
      <c r="S1159" s="212"/>
      <c r="T1159" s="213">
        <f t="shared" ref="T1159:T1167" si="1416">S1159-U1159</f>
        <v>0</v>
      </c>
      <c r="U1159" s="214"/>
      <c r="V1159" s="212"/>
      <c r="W1159" s="213">
        <f t="shared" ref="W1159:W1167" si="1417">V1159-X1159</f>
        <v>0</v>
      </c>
      <c r="X1159" s="215"/>
      <c r="Y1159" s="212"/>
      <c r="Z1159" s="213">
        <f t="shared" ref="Z1159:Z1167" si="1418">Y1159-AA1159</f>
        <v>0</v>
      </c>
      <c r="AA1159" s="214"/>
      <c r="AB1159" s="212"/>
      <c r="AC1159" s="213">
        <f t="shared" ref="AC1159:AC1167" si="1419">AB1159-AD1159</f>
        <v>0</v>
      </c>
      <c r="AD1159" s="214"/>
      <c r="AE1159" s="212"/>
      <c r="AF1159" s="213">
        <f t="shared" ref="AF1159:AF1167" si="1420">AE1159-AG1159</f>
        <v>0</v>
      </c>
      <c r="AG1159" s="214"/>
      <c r="AH1159" s="212"/>
      <c r="AI1159" s="213">
        <f t="shared" ref="AI1159:AI1167" si="1421">AH1159-AJ1159</f>
        <v>0</v>
      </c>
      <c r="AJ1159" s="214"/>
      <c r="AK1159" s="212"/>
      <c r="AL1159" s="213">
        <f t="shared" ref="AL1159:AL1167" si="1422">AK1159-AM1159</f>
        <v>0</v>
      </c>
      <c r="AM1159" s="214"/>
      <c r="AN1159" s="212"/>
      <c r="AO1159" s="213">
        <f t="shared" si="1369"/>
        <v>0</v>
      </c>
      <c r="AP1159" s="214"/>
      <c r="AQ1159" s="212"/>
      <c r="AR1159" s="213">
        <f t="shared" si="1370"/>
        <v>0</v>
      </c>
      <c r="AS1159" s="214"/>
      <c r="AT1159" s="216"/>
      <c r="AU1159" s="217" t="s">
        <v>32</v>
      </c>
    </row>
    <row r="1160" spans="1:47">
      <c r="A1160" s="570"/>
      <c r="B1160" s="649"/>
      <c r="C1160" s="573"/>
      <c r="D1160" s="576"/>
      <c r="E1160" s="579"/>
      <c r="F1160" s="199"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8"/>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0"/>
      <c r="AU1160" s="201">
        <f>SUM(G1159:G1167,J1159:J1167,M1159:M1167,P1159:P1167,S1159:S1167,V1159:V1167,Y1159:Y1167,AB1159:AB1167,AE1159:AE1167,AH1159:AH1167,AK1159:AK1167,AT1159:AT1167,AN1159:AN1167,AQ1159:AQ1167)</f>
        <v>580446</v>
      </c>
    </row>
    <row r="1161" spans="1:47">
      <c r="A1161" s="570"/>
      <c r="B1161" s="649"/>
      <c r="C1161" s="573"/>
      <c r="D1161" s="576"/>
      <c r="E1161" s="579"/>
      <c r="F1161" s="199"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8"/>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0"/>
      <c r="AU1161" s="202" t="s">
        <v>35</v>
      </c>
    </row>
    <row r="1162" spans="1:47">
      <c r="A1162" s="570"/>
      <c r="B1162" s="649"/>
      <c r="C1162" s="573"/>
      <c r="D1162" s="576"/>
      <c r="E1162" s="579"/>
      <c r="F1162" s="199"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8"/>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0"/>
      <c r="AU1162" s="201">
        <f>SUM(H1159:H1167,K1159:K1167,N1159:N1167,Q1159:Q1167,T1159:T1167,W1159:W1167,Z1159:Z1167,AC1159:AC1167,AF1159:AF1167,AI1159:AI1167,AL1159:AL1167,AO1159:AO1167,AR1159:AR1167)</f>
        <v>0</v>
      </c>
    </row>
    <row r="1163" spans="1:47">
      <c r="A1163" s="570"/>
      <c r="B1163" s="649"/>
      <c r="C1163" s="573"/>
      <c r="D1163" s="576"/>
      <c r="E1163" s="579"/>
      <c r="F1163" s="199"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8"/>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0"/>
      <c r="AU1163" s="202" t="s">
        <v>38</v>
      </c>
    </row>
    <row r="1164" spans="1:47">
      <c r="A1164" s="570"/>
      <c r="B1164" s="649"/>
      <c r="C1164" s="573"/>
      <c r="D1164" s="576"/>
      <c r="E1164" s="579"/>
      <c r="F1164" s="199"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v>0</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0"/>
      <c r="AU1164" s="201">
        <f>SUM(I1159:I1167,L1159:L1167,O1159:O1167,R1159:R1167,U1159:U1167,X1159:X1167,AA1159:AA1167,AD1159:AD1167,AG1159:AG1167,AJ1159:AJ1167,AM1159:AM1167,AP1159:AP1167,AS1159:AS1167)</f>
        <v>581878</v>
      </c>
    </row>
    <row r="1165" spans="1:47">
      <c r="A1165" s="570"/>
      <c r="B1165" s="649"/>
      <c r="C1165" s="573"/>
      <c r="D1165" s="576"/>
      <c r="E1165" s="579"/>
      <c r="F1165" s="199"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8"/>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0"/>
      <c r="AU1165" s="202" t="s">
        <v>42</v>
      </c>
    </row>
    <row r="1166" spans="1:47">
      <c r="A1166" s="570"/>
      <c r="B1166" s="649"/>
      <c r="C1166" s="573"/>
      <c r="D1166" s="576"/>
      <c r="E1166" s="579"/>
      <c r="F1166" s="199"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8"/>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0"/>
      <c r="AU1166" s="203">
        <f>AU1164/AU1160</f>
        <v>1.0024670684266925</v>
      </c>
    </row>
    <row r="1167" spans="1:47" ht="15.75" customHeight="1">
      <c r="A1167" s="571"/>
      <c r="B1167" s="650"/>
      <c r="C1167" s="574"/>
      <c r="D1167" s="577"/>
      <c r="E1167" s="580"/>
      <c r="F1167" s="204" t="s">
        <v>44</v>
      </c>
      <c r="G1167" s="205"/>
      <c r="H1167" s="206">
        <f t="shared" si="1412"/>
        <v>0</v>
      </c>
      <c r="I1167" s="207"/>
      <c r="J1167" s="205"/>
      <c r="K1167" s="206">
        <f t="shared" si="1413"/>
        <v>0</v>
      </c>
      <c r="L1167" s="207"/>
      <c r="M1167" s="205"/>
      <c r="N1167" s="206">
        <f t="shared" si="1414"/>
        <v>0</v>
      </c>
      <c r="O1167" s="207"/>
      <c r="P1167" s="205"/>
      <c r="Q1167" s="206">
        <f t="shared" si="1415"/>
        <v>0</v>
      </c>
      <c r="R1167" s="207"/>
      <c r="S1167" s="205"/>
      <c r="T1167" s="206">
        <f t="shared" si="1416"/>
        <v>0</v>
      </c>
      <c r="U1167" s="207"/>
      <c r="V1167" s="205"/>
      <c r="W1167" s="206">
        <f t="shared" si="1417"/>
        <v>0</v>
      </c>
      <c r="X1167" s="208"/>
      <c r="Y1167" s="205"/>
      <c r="Z1167" s="206">
        <f t="shared" si="1418"/>
        <v>0</v>
      </c>
      <c r="AA1167" s="207"/>
      <c r="AB1167" s="205"/>
      <c r="AC1167" s="206">
        <f t="shared" si="1419"/>
        <v>0</v>
      </c>
      <c r="AD1167" s="207"/>
      <c r="AE1167" s="205"/>
      <c r="AF1167" s="206">
        <f t="shared" si="1420"/>
        <v>0</v>
      </c>
      <c r="AG1167" s="207"/>
      <c r="AH1167" s="205"/>
      <c r="AI1167" s="206">
        <f t="shared" si="1421"/>
        <v>0</v>
      </c>
      <c r="AJ1167" s="207"/>
      <c r="AK1167" s="205"/>
      <c r="AL1167" s="206">
        <f t="shared" si="1422"/>
        <v>0</v>
      </c>
      <c r="AM1167" s="207"/>
      <c r="AN1167" s="205"/>
      <c r="AO1167" s="206">
        <f t="shared" si="1369"/>
        <v>0</v>
      </c>
      <c r="AP1167" s="207"/>
      <c r="AQ1167" s="205"/>
      <c r="AR1167" s="206">
        <f t="shared" si="1370"/>
        <v>0</v>
      </c>
      <c r="AS1167" s="207"/>
      <c r="AT1167" s="209"/>
      <c r="AU1167" s="210"/>
    </row>
    <row r="1168" spans="1:47" ht="15">
      <c r="A1168" s="538" t="s">
        <v>22</v>
      </c>
      <c r="B1168" s="524" t="s">
        <v>18</v>
      </c>
      <c r="C1168" s="524" t="s">
        <v>19</v>
      </c>
      <c r="D1168" s="524" t="s">
        <v>203</v>
      </c>
      <c r="E1168" s="524" t="s">
        <v>21</v>
      </c>
      <c r="F1168" s="467" t="s">
        <v>23</v>
      </c>
      <c r="G1168" s="504" t="s">
        <v>24</v>
      </c>
      <c r="H1168" s="494" t="s">
        <v>25</v>
      </c>
      <c r="I1168" s="496" t="s">
        <v>26</v>
      </c>
      <c r="J1168" s="504" t="s">
        <v>24</v>
      </c>
      <c r="K1168" s="494" t="s">
        <v>25</v>
      </c>
      <c r="L1168" s="496" t="s">
        <v>26</v>
      </c>
      <c r="M1168" s="504" t="s">
        <v>24</v>
      </c>
      <c r="N1168" s="494" t="s">
        <v>25</v>
      </c>
      <c r="O1168" s="496" t="s">
        <v>26</v>
      </c>
      <c r="P1168" s="504" t="s">
        <v>24</v>
      </c>
      <c r="Q1168" s="494" t="s">
        <v>25</v>
      </c>
      <c r="R1168" s="496" t="s">
        <v>26</v>
      </c>
      <c r="S1168" s="504" t="s">
        <v>24</v>
      </c>
      <c r="T1168" s="494" t="s">
        <v>25</v>
      </c>
      <c r="U1168" s="496" t="s">
        <v>26</v>
      </c>
      <c r="V1168" s="504" t="s">
        <v>24</v>
      </c>
      <c r="W1168" s="494" t="s">
        <v>25</v>
      </c>
      <c r="X1168" s="496" t="s">
        <v>26</v>
      </c>
      <c r="Y1168" s="504" t="s">
        <v>24</v>
      </c>
      <c r="Z1168" s="494" t="s">
        <v>25</v>
      </c>
      <c r="AA1168" s="496" t="s">
        <v>26</v>
      </c>
      <c r="AB1168" s="504" t="s">
        <v>24</v>
      </c>
      <c r="AC1168" s="494" t="s">
        <v>25</v>
      </c>
      <c r="AD1168" s="496" t="s">
        <v>26</v>
      </c>
      <c r="AE1168" s="504" t="s">
        <v>24</v>
      </c>
      <c r="AF1168" s="494" t="s">
        <v>25</v>
      </c>
      <c r="AG1168" s="496" t="s">
        <v>26</v>
      </c>
      <c r="AH1168" s="504" t="s">
        <v>24</v>
      </c>
      <c r="AI1168" s="494" t="s">
        <v>25</v>
      </c>
      <c r="AJ1168" s="496" t="s">
        <v>26</v>
      </c>
      <c r="AK1168" s="504" t="s">
        <v>24</v>
      </c>
      <c r="AL1168" s="494" t="s">
        <v>25</v>
      </c>
      <c r="AM1168" s="496" t="s">
        <v>26</v>
      </c>
      <c r="AN1168" s="504" t="s">
        <v>24</v>
      </c>
      <c r="AO1168" s="494" t="s">
        <v>25</v>
      </c>
      <c r="AP1168" s="496" t="s">
        <v>26</v>
      </c>
      <c r="AQ1168" s="504" t="s">
        <v>24</v>
      </c>
      <c r="AR1168" s="494" t="s">
        <v>25</v>
      </c>
      <c r="AS1168" s="496" t="s">
        <v>26</v>
      </c>
      <c r="AT1168" s="536" t="s">
        <v>24</v>
      </c>
      <c r="AU1168" s="544" t="s">
        <v>27</v>
      </c>
    </row>
    <row r="1169" spans="1:47" ht="15">
      <c r="A1169" s="539"/>
      <c r="B1169" s="525"/>
      <c r="C1169" s="525"/>
      <c r="D1169" s="525"/>
      <c r="E1169" s="525"/>
      <c r="F1169" s="468"/>
      <c r="G1169" s="505"/>
      <c r="H1169" s="495"/>
      <c r="I1169" s="497"/>
      <c r="J1169" s="505"/>
      <c r="K1169" s="495"/>
      <c r="L1169" s="497"/>
      <c r="M1169" s="505"/>
      <c r="N1169" s="495"/>
      <c r="O1169" s="497"/>
      <c r="P1169" s="505"/>
      <c r="Q1169" s="495"/>
      <c r="R1169" s="497"/>
      <c r="S1169" s="505"/>
      <c r="T1169" s="495"/>
      <c r="U1169" s="497"/>
      <c r="V1169" s="505"/>
      <c r="W1169" s="495"/>
      <c r="X1169" s="497"/>
      <c r="Y1169" s="505"/>
      <c r="Z1169" s="495"/>
      <c r="AA1169" s="497"/>
      <c r="AB1169" s="505"/>
      <c r="AC1169" s="495"/>
      <c r="AD1169" s="497"/>
      <c r="AE1169" s="505"/>
      <c r="AF1169" s="495"/>
      <c r="AG1169" s="497"/>
      <c r="AH1169" s="505"/>
      <c r="AI1169" s="495"/>
      <c r="AJ1169" s="497"/>
      <c r="AK1169" s="505"/>
      <c r="AL1169" s="495"/>
      <c r="AM1169" s="497"/>
      <c r="AN1169" s="505"/>
      <c r="AO1169" s="495"/>
      <c r="AP1169" s="497"/>
      <c r="AQ1169" s="505"/>
      <c r="AR1169" s="495"/>
      <c r="AS1169" s="497"/>
      <c r="AT1169" s="537"/>
      <c r="AU1169" s="545"/>
    </row>
    <row r="1170" spans="1:47" ht="15" customHeight="1">
      <c r="A1170" s="526" t="s">
        <v>204</v>
      </c>
      <c r="B1170" s="540" t="s">
        <v>534</v>
      </c>
      <c r="C1170" s="528">
        <v>2979</v>
      </c>
      <c r="D1170" s="530" t="s">
        <v>535</v>
      </c>
      <c r="E1170" s="532"/>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526"/>
      <c r="B1171" s="540"/>
      <c r="C1171" s="528"/>
      <c r="D1171" s="530"/>
      <c r="E1171" s="532"/>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526"/>
      <c r="B1172" s="540"/>
      <c r="C1172" s="528"/>
      <c r="D1172" s="530"/>
      <c r="E1172" s="532"/>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526"/>
      <c r="B1173" s="540"/>
      <c r="C1173" s="528"/>
      <c r="D1173" s="530"/>
      <c r="E1173" s="532"/>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526"/>
      <c r="B1174" s="540"/>
      <c r="C1174" s="528"/>
      <c r="D1174" s="530"/>
      <c r="E1174" s="532"/>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526"/>
      <c r="B1175" s="540"/>
      <c r="C1175" s="528"/>
      <c r="D1175" s="530"/>
      <c r="E1175" s="532"/>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526"/>
      <c r="B1176" s="540"/>
      <c r="C1176" s="528"/>
      <c r="D1176" s="530"/>
      <c r="E1176" s="532"/>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526"/>
      <c r="B1177" s="540"/>
      <c r="C1177" s="528"/>
      <c r="D1177" s="530"/>
      <c r="E1177" s="532"/>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527"/>
      <c r="B1178" s="541"/>
      <c r="C1178" s="529"/>
      <c r="D1178" s="531"/>
      <c r="E1178" s="533"/>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538" t="s">
        <v>22</v>
      </c>
      <c r="B1179" s="524" t="s">
        <v>18</v>
      </c>
      <c r="C1179" s="524" t="s">
        <v>19</v>
      </c>
      <c r="D1179" s="524" t="s">
        <v>203</v>
      </c>
      <c r="E1179" s="524" t="s">
        <v>21</v>
      </c>
      <c r="F1179" s="467" t="s">
        <v>23</v>
      </c>
      <c r="G1179" s="504" t="s">
        <v>24</v>
      </c>
      <c r="H1179" s="494" t="s">
        <v>25</v>
      </c>
      <c r="I1179" s="496" t="s">
        <v>26</v>
      </c>
      <c r="J1179" s="504" t="s">
        <v>24</v>
      </c>
      <c r="K1179" s="494" t="s">
        <v>25</v>
      </c>
      <c r="L1179" s="496" t="s">
        <v>26</v>
      </c>
      <c r="M1179" s="504" t="s">
        <v>24</v>
      </c>
      <c r="N1179" s="494" t="s">
        <v>25</v>
      </c>
      <c r="O1179" s="496" t="s">
        <v>26</v>
      </c>
      <c r="P1179" s="504" t="s">
        <v>24</v>
      </c>
      <c r="Q1179" s="494" t="s">
        <v>25</v>
      </c>
      <c r="R1179" s="496" t="s">
        <v>26</v>
      </c>
      <c r="S1179" s="504" t="s">
        <v>24</v>
      </c>
      <c r="T1179" s="494" t="s">
        <v>25</v>
      </c>
      <c r="U1179" s="496" t="s">
        <v>26</v>
      </c>
      <c r="V1179" s="504" t="s">
        <v>24</v>
      </c>
      <c r="W1179" s="494" t="s">
        <v>25</v>
      </c>
      <c r="X1179" s="496" t="s">
        <v>26</v>
      </c>
      <c r="Y1179" s="504" t="s">
        <v>24</v>
      </c>
      <c r="Z1179" s="494" t="s">
        <v>25</v>
      </c>
      <c r="AA1179" s="496" t="s">
        <v>26</v>
      </c>
      <c r="AB1179" s="504" t="s">
        <v>24</v>
      </c>
      <c r="AC1179" s="494" t="s">
        <v>25</v>
      </c>
      <c r="AD1179" s="496" t="s">
        <v>26</v>
      </c>
      <c r="AE1179" s="504" t="s">
        <v>24</v>
      </c>
      <c r="AF1179" s="494" t="s">
        <v>25</v>
      </c>
      <c r="AG1179" s="496" t="s">
        <v>26</v>
      </c>
      <c r="AH1179" s="504" t="s">
        <v>24</v>
      </c>
      <c r="AI1179" s="494" t="s">
        <v>25</v>
      </c>
      <c r="AJ1179" s="496" t="s">
        <v>26</v>
      </c>
      <c r="AK1179" s="504" t="s">
        <v>24</v>
      </c>
      <c r="AL1179" s="494" t="s">
        <v>25</v>
      </c>
      <c r="AM1179" s="496" t="s">
        <v>26</v>
      </c>
      <c r="AN1179" s="504" t="s">
        <v>24</v>
      </c>
      <c r="AO1179" s="494" t="s">
        <v>25</v>
      </c>
      <c r="AP1179" s="496" t="s">
        <v>26</v>
      </c>
      <c r="AQ1179" s="504" t="s">
        <v>24</v>
      </c>
      <c r="AR1179" s="494" t="s">
        <v>25</v>
      </c>
      <c r="AS1179" s="496" t="s">
        <v>26</v>
      </c>
      <c r="AT1179" s="536" t="s">
        <v>24</v>
      </c>
      <c r="AU1179" s="544" t="s">
        <v>27</v>
      </c>
    </row>
    <row r="1180" spans="1:47" ht="15">
      <c r="A1180" s="539"/>
      <c r="B1180" s="525"/>
      <c r="C1180" s="525"/>
      <c r="D1180" s="525"/>
      <c r="E1180" s="525"/>
      <c r="F1180" s="468"/>
      <c r="G1180" s="505"/>
      <c r="H1180" s="495"/>
      <c r="I1180" s="497"/>
      <c r="J1180" s="505"/>
      <c r="K1180" s="495"/>
      <c r="L1180" s="497"/>
      <c r="M1180" s="505"/>
      <c r="N1180" s="495"/>
      <c r="O1180" s="497"/>
      <c r="P1180" s="505"/>
      <c r="Q1180" s="495"/>
      <c r="R1180" s="497"/>
      <c r="S1180" s="505"/>
      <c r="T1180" s="495"/>
      <c r="U1180" s="497"/>
      <c r="V1180" s="505"/>
      <c r="W1180" s="495"/>
      <c r="X1180" s="497"/>
      <c r="Y1180" s="505"/>
      <c r="Z1180" s="495"/>
      <c r="AA1180" s="497"/>
      <c r="AB1180" s="505"/>
      <c r="AC1180" s="495"/>
      <c r="AD1180" s="497"/>
      <c r="AE1180" s="505"/>
      <c r="AF1180" s="495"/>
      <c r="AG1180" s="497"/>
      <c r="AH1180" s="505"/>
      <c r="AI1180" s="495"/>
      <c r="AJ1180" s="497"/>
      <c r="AK1180" s="505"/>
      <c r="AL1180" s="495"/>
      <c r="AM1180" s="497"/>
      <c r="AN1180" s="505"/>
      <c r="AO1180" s="495"/>
      <c r="AP1180" s="497"/>
      <c r="AQ1180" s="505"/>
      <c r="AR1180" s="495"/>
      <c r="AS1180" s="497"/>
      <c r="AT1180" s="537"/>
      <c r="AU1180" s="545"/>
    </row>
    <row r="1181" spans="1:47" ht="15" customHeight="1">
      <c r="A1181" s="526" t="s">
        <v>246</v>
      </c>
      <c r="B1181" s="526" t="s">
        <v>536</v>
      </c>
      <c r="C1181" s="528">
        <v>2320</v>
      </c>
      <c r="D1181" s="530" t="s">
        <v>537</v>
      </c>
      <c r="E1181" s="532"/>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526"/>
      <c r="B1182" s="526"/>
      <c r="C1182" s="528"/>
      <c r="D1182" s="530"/>
      <c r="E1182" s="532"/>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526"/>
      <c r="B1183" s="526"/>
      <c r="C1183" s="528"/>
      <c r="D1183" s="530"/>
      <c r="E1183" s="532"/>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526"/>
      <c r="B1184" s="526"/>
      <c r="C1184" s="528"/>
      <c r="D1184" s="530"/>
      <c r="E1184" s="532"/>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526"/>
      <c r="B1185" s="526"/>
      <c r="C1185" s="528"/>
      <c r="D1185" s="530"/>
      <c r="E1185" s="532"/>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526"/>
      <c r="B1186" s="526"/>
      <c r="C1186" s="528"/>
      <c r="D1186" s="530"/>
      <c r="E1186" s="532"/>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168">
        <v>438344</v>
      </c>
      <c r="AI1186" s="169">
        <f t="shared" si="1446"/>
        <v>438344</v>
      </c>
      <c r="AJ1186" s="170"/>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526"/>
      <c r="B1187" s="526"/>
      <c r="C1187" s="528"/>
      <c r="D1187" s="530"/>
      <c r="E1187" s="532"/>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526"/>
      <c r="B1188" s="526"/>
      <c r="C1188" s="528"/>
      <c r="D1188" s="530"/>
      <c r="E1188" s="532"/>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527"/>
      <c r="B1189" s="527"/>
      <c r="C1189" s="529"/>
      <c r="D1189" s="531"/>
      <c r="E1189" s="533"/>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538" t="s">
        <v>22</v>
      </c>
      <c r="B1190" s="524" t="s">
        <v>18</v>
      </c>
      <c r="C1190" s="524" t="s">
        <v>19</v>
      </c>
      <c r="D1190" s="524" t="s">
        <v>203</v>
      </c>
      <c r="E1190" s="524" t="s">
        <v>21</v>
      </c>
      <c r="F1190" s="467" t="s">
        <v>23</v>
      </c>
      <c r="G1190" s="504" t="s">
        <v>24</v>
      </c>
      <c r="H1190" s="494" t="s">
        <v>25</v>
      </c>
      <c r="I1190" s="496" t="s">
        <v>26</v>
      </c>
      <c r="J1190" s="504" t="s">
        <v>24</v>
      </c>
      <c r="K1190" s="494" t="s">
        <v>25</v>
      </c>
      <c r="L1190" s="496" t="s">
        <v>26</v>
      </c>
      <c r="M1190" s="504" t="s">
        <v>24</v>
      </c>
      <c r="N1190" s="494" t="s">
        <v>25</v>
      </c>
      <c r="O1190" s="496" t="s">
        <v>26</v>
      </c>
      <c r="P1190" s="504" t="s">
        <v>24</v>
      </c>
      <c r="Q1190" s="494" t="s">
        <v>25</v>
      </c>
      <c r="R1190" s="496" t="s">
        <v>26</v>
      </c>
      <c r="S1190" s="504" t="s">
        <v>24</v>
      </c>
      <c r="T1190" s="494" t="s">
        <v>25</v>
      </c>
      <c r="U1190" s="496" t="s">
        <v>26</v>
      </c>
      <c r="V1190" s="504" t="s">
        <v>24</v>
      </c>
      <c r="W1190" s="494" t="s">
        <v>25</v>
      </c>
      <c r="X1190" s="496" t="s">
        <v>26</v>
      </c>
      <c r="Y1190" s="504" t="s">
        <v>24</v>
      </c>
      <c r="Z1190" s="494" t="s">
        <v>25</v>
      </c>
      <c r="AA1190" s="496" t="s">
        <v>26</v>
      </c>
      <c r="AB1190" s="504" t="s">
        <v>24</v>
      </c>
      <c r="AC1190" s="494" t="s">
        <v>25</v>
      </c>
      <c r="AD1190" s="496" t="s">
        <v>26</v>
      </c>
      <c r="AE1190" s="504" t="s">
        <v>24</v>
      </c>
      <c r="AF1190" s="494" t="s">
        <v>25</v>
      </c>
      <c r="AG1190" s="496" t="s">
        <v>26</v>
      </c>
      <c r="AH1190" s="504" t="s">
        <v>24</v>
      </c>
      <c r="AI1190" s="494" t="s">
        <v>25</v>
      </c>
      <c r="AJ1190" s="496" t="s">
        <v>26</v>
      </c>
      <c r="AK1190" s="504" t="s">
        <v>24</v>
      </c>
      <c r="AL1190" s="494" t="s">
        <v>25</v>
      </c>
      <c r="AM1190" s="496" t="s">
        <v>26</v>
      </c>
      <c r="AN1190" s="504" t="s">
        <v>24</v>
      </c>
      <c r="AO1190" s="494" t="s">
        <v>25</v>
      </c>
      <c r="AP1190" s="496" t="s">
        <v>26</v>
      </c>
      <c r="AQ1190" s="504" t="s">
        <v>24</v>
      </c>
      <c r="AR1190" s="494" t="s">
        <v>25</v>
      </c>
      <c r="AS1190" s="496" t="s">
        <v>26</v>
      </c>
      <c r="AT1190" s="536" t="s">
        <v>24</v>
      </c>
      <c r="AU1190" s="544" t="s">
        <v>27</v>
      </c>
    </row>
    <row r="1191" spans="1:47" ht="15">
      <c r="A1191" s="539"/>
      <c r="B1191" s="525"/>
      <c r="C1191" s="525"/>
      <c r="D1191" s="525"/>
      <c r="E1191" s="525"/>
      <c r="F1191" s="468"/>
      <c r="G1191" s="505"/>
      <c r="H1191" s="495"/>
      <c r="I1191" s="497"/>
      <c r="J1191" s="505"/>
      <c r="K1191" s="495"/>
      <c r="L1191" s="497"/>
      <c r="M1191" s="505"/>
      <c r="N1191" s="495"/>
      <c r="O1191" s="497"/>
      <c r="P1191" s="505"/>
      <c r="Q1191" s="495"/>
      <c r="R1191" s="497"/>
      <c r="S1191" s="505"/>
      <c r="T1191" s="495"/>
      <c r="U1191" s="497"/>
      <c r="V1191" s="505"/>
      <c r="W1191" s="495"/>
      <c r="X1191" s="497"/>
      <c r="Y1191" s="505"/>
      <c r="Z1191" s="495"/>
      <c r="AA1191" s="497"/>
      <c r="AB1191" s="505"/>
      <c r="AC1191" s="495"/>
      <c r="AD1191" s="497"/>
      <c r="AE1191" s="505"/>
      <c r="AF1191" s="495"/>
      <c r="AG1191" s="497"/>
      <c r="AH1191" s="505"/>
      <c r="AI1191" s="495"/>
      <c r="AJ1191" s="497"/>
      <c r="AK1191" s="505"/>
      <c r="AL1191" s="495"/>
      <c r="AM1191" s="497"/>
      <c r="AN1191" s="505"/>
      <c r="AO1191" s="495"/>
      <c r="AP1191" s="497"/>
      <c r="AQ1191" s="505"/>
      <c r="AR1191" s="495"/>
      <c r="AS1191" s="497"/>
      <c r="AT1191" s="537"/>
      <c r="AU1191" s="545"/>
    </row>
    <row r="1192" spans="1:47" ht="15" customHeight="1">
      <c r="A1192" s="526" t="s">
        <v>506</v>
      </c>
      <c r="B1192" s="526" t="s">
        <v>538</v>
      </c>
      <c r="C1192" s="528" t="s">
        <v>92</v>
      </c>
      <c r="D1192" s="530"/>
      <c r="E1192" s="532"/>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526"/>
      <c r="B1193" s="526"/>
      <c r="C1193" s="528"/>
      <c r="D1193" s="530"/>
      <c r="E1193" s="532"/>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526"/>
      <c r="B1194" s="526"/>
      <c r="C1194" s="528"/>
      <c r="D1194" s="530"/>
      <c r="E1194" s="532"/>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526"/>
      <c r="B1195" s="526"/>
      <c r="C1195" s="528"/>
      <c r="D1195" s="530"/>
      <c r="E1195" s="532"/>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526"/>
      <c r="B1196" s="526"/>
      <c r="C1196" s="528"/>
      <c r="D1196" s="530"/>
      <c r="E1196" s="532"/>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526"/>
      <c r="B1197" s="526"/>
      <c r="C1197" s="528"/>
      <c r="D1197" s="530"/>
      <c r="E1197" s="532"/>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526"/>
      <c r="B1198" s="526"/>
      <c r="C1198" s="528"/>
      <c r="D1198" s="530"/>
      <c r="E1198" s="532"/>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526"/>
      <c r="B1199" s="526"/>
      <c r="C1199" s="528"/>
      <c r="D1199" s="530"/>
      <c r="E1199" s="532"/>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527"/>
      <c r="B1200" s="527"/>
      <c r="C1200" s="529"/>
      <c r="D1200" s="531"/>
      <c r="E1200" s="533"/>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68" t="s">
        <v>22</v>
      </c>
      <c r="B1201" s="644" t="s">
        <v>18</v>
      </c>
      <c r="C1201" s="491" t="s">
        <v>19</v>
      </c>
      <c r="D1201" s="491" t="s">
        <v>203</v>
      </c>
      <c r="E1201" s="491" t="s">
        <v>21</v>
      </c>
      <c r="F1201" s="581" t="s">
        <v>23</v>
      </c>
      <c r="G1201" s="466" t="s">
        <v>24</v>
      </c>
      <c r="H1201" s="468" t="s">
        <v>25</v>
      </c>
      <c r="I1201" s="470" t="s">
        <v>26</v>
      </c>
      <c r="J1201" s="466" t="s">
        <v>24</v>
      </c>
      <c r="K1201" s="468" t="s">
        <v>25</v>
      </c>
      <c r="L1201" s="470" t="s">
        <v>26</v>
      </c>
      <c r="M1201" s="466" t="s">
        <v>24</v>
      </c>
      <c r="N1201" s="468" t="s">
        <v>25</v>
      </c>
      <c r="O1201" s="470" t="s">
        <v>26</v>
      </c>
      <c r="P1201" s="466" t="s">
        <v>24</v>
      </c>
      <c r="Q1201" s="468" t="s">
        <v>25</v>
      </c>
      <c r="R1201" s="470" t="s">
        <v>26</v>
      </c>
      <c r="S1201" s="466" t="s">
        <v>24</v>
      </c>
      <c r="T1201" s="468" t="s">
        <v>25</v>
      </c>
      <c r="U1201" s="470" t="s">
        <v>26</v>
      </c>
      <c r="V1201" s="466" t="s">
        <v>24</v>
      </c>
      <c r="W1201" s="468" t="s">
        <v>25</v>
      </c>
      <c r="X1201" s="551" t="s">
        <v>26</v>
      </c>
      <c r="Y1201" s="466" t="s">
        <v>24</v>
      </c>
      <c r="Z1201" s="468" t="s">
        <v>25</v>
      </c>
      <c r="AA1201" s="470" t="s">
        <v>26</v>
      </c>
      <c r="AB1201" s="466" t="s">
        <v>24</v>
      </c>
      <c r="AC1201" s="468" t="s">
        <v>25</v>
      </c>
      <c r="AD1201" s="470" t="s">
        <v>26</v>
      </c>
      <c r="AE1201" s="466" t="s">
        <v>24</v>
      </c>
      <c r="AF1201" s="468" t="s">
        <v>25</v>
      </c>
      <c r="AG1201" s="470" t="s">
        <v>26</v>
      </c>
      <c r="AH1201" s="466" t="s">
        <v>24</v>
      </c>
      <c r="AI1201" s="468" t="s">
        <v>25</v>
      </c>
      <c r="AJ1201" s="470" t="s">
        <v>26</v>
      </c>
      <c r="AK1201" s="466" t="s">
        <v>24</v>
      </c>
      <c r="AL1201" s="468" t="s">
        <v>25</v>
      </c>
      <c r="AM1201" s="470" t="s">
        <v>26</v>
      </c>
      <c r="AN1201" s="466" t="s">
        <v>24</v>
      </c>
      <c r="AO1201" s="468" t="s">
        <v>25</v>
      </c>
      <c r="AP1201" s="470" t="s">
        <v>26</v>
      </c>
      <c r="AQ1201" s="466" t="s">
        <v>24</v>
      </c>
      <c r="AR1201" s="468" t="s">
        <v>25</v>
      </c>
      <c r="AS1201" s="470" t="s">
        <v>26</v>
      </c>
      <c r="AT1201" s="587" t="s">
        <v>24</v>
      </c>
      <c r="AU1201" s="621" t="s">
        <v>27</v>
      </c>
    </row>
    <row r="1202" spans="1:47" ht="15" customHeight="1">
      <c r="A1202" s="495"/>
      <c r="B1202" s="603"/>
      <c r="C1202" s="525"/>
      <c r="D1202" s="525"/>
      <c r="E1202" s="525"/>
      <c r="F1202" s="550"/>
      <c r="G1202" s="505"/>
      <c r="H1202" s="495"/>
      <c r="I1202" s="497"/>
      <c r="J1202" s="505"/>
      <c r="K1202" s="495"/>
      <c r="L1202" s="497"/>
      <c r="M1202" s="505"/>
      <c r="N1202" s="495"/>
      <c r="O1202" s="497"/>
      <c r="P1202" s="505"/>
      <c r="Q1202" s="495"/>
      <c r="R1202" s="497"/>
      <c r="S1202" s="505"/>
      <c r="T1202" s="495"/>
      <c r="U1202" s="497"/>
      <c r="V1202" s="505"/>
      <c r="W1202" s="495"/>
      <c r="X1202" s="535"/>
      <c r="Y1202" s="505"/>
      <c r="Z1202" s="495"/>
      <c r="AA1202" s="497"/>
      <c r="AB1202" s="505"/>
      <c r="AC1202" s="495"/>
      <c r="AD1202" s="497"/>
      <c r="AE1202" s="505"/>
      <c r="AF1202" s="495"/>
      <c r="AG1202" s="497"/>
      <c r="AH1202" s="505"/>
      <c r="AI1202" s="495"/>
      <c r="AJ1202" s="497"/>
      <c r="AK1202" s="505"/>
      <c r="AL1202" s="495"/>
      <c r="AM1202" s="497"/>
      <c r="AN1202" s="505"/>
      <c r="AO1202" s="495"/>
      <c r="AP1202" s="497"/>
      <c r="AQ1202" s="505"/>
      <c r="AR1202" s="495"/>
      <c r="AS1202" s="497"/>
      <c r="AT1202" s="588"/>
      <c r="AU1202" s="514"/>
    </row>
    <row r="1203" spans="1:47" ht="15" customHeight="1">
      <c r="A1203" s="589" t="s">
        <v>204</v>
      </c>
      <c r="B1203" s="640" t="s">
        <v>539</v>
      </c>
      <c r="C1203" s="592">
        <v>329</v>
      </c>
      <c r="D1203" s="595" t="s">
        <v>540</v>
      </c>
      <c r="E1203" s="598" t="s">
        <v>541</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590"/>
      <c r="B1204" s="641"/>
      <c r="C1204" s="593"/>
      <c r="D1204" s="596"/>
      <c r="E1204" s="599"/>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582">
        <f>SUM(G1203:G1214,J1203:J1214,M1203:M1214,P1203:P1214,S1203:S1214,AT1203:AT1214,V1203:V1214,Y1203:Y1214,AB1203:AB1214,AE1203:AE1214,AH1203:AH1214,AK1203:AK1214,AN1203:AN1214,AQ1203:AQ1214)</f>
        <v>0</v>
      </c>
    </row>
    <row r="1205" spans="1:47" ht="14.45" customHeight="1">
      <c r="A1205" s="590"/>
      <c r="B1205" s="641"/>
      <c r="C1205" s="593"/>
      <c r="D1205" s="596"/>
      <c r="E1205" s="599"/>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583"/>
    </row>
    <row r="1206" spans="1:47" ht="14.45" customHeight="1">
      <c r="A1206" s="590"/>
      <c r="B1206" s="641"/>
      <c r="C1206" s="593"/>
      <c r="D1206" s="596"/>
      <c r="E1206" s="599"/>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590"/>
      <c r="B1207" s="641"/>
      <c r="C1207" s="593"/>
      <c r="D1207" s="596"/>
      <c r="E1207" s="599"/>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582">
        <f>SUM(H1203:H1214,K1203:K1214,N1203:N1214,Q1203:Q1214,T1203:T1214,W1203:W1214,Z1203:Z1214,AC1203:AC1214,AF1203:AF1214,AI1203:AI1214,AL1203:AL1214,AO1203:AO1214,AR1203:AR1214)</f>
        <v>0</v>
      </c>
    </row>
    <row r="1208" spans="1:47" ht="14.45" customHeight="1">
      <c r="A1208" s="590"/>
      <c r="B1208" s="641"/>
      <c r="C1208" s="593"/>
      <c r="D1208" s="596"/>
      <c r="E1208" s="599"/>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583"/>
    </row>
    <row r="1209" spans="1:47" ht="14.45" customHeight="1">
      <c r="A1209" s="590"/>
      <c r="B1209" s="641"/>
      <c r="C1209" s="593"/>
      <c r="D1209" s="596"/>
      <c r="E1209" s="599"/>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590"/>
      <c r="B1210" s="641"/>
      <c r="C1210" s="593"/>
      <c r="D1210" s="596"/>
      <c r="E1210" s="599"/>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582">
        <f>SUM(I1203:I1214,L1203:L1214,O1203:O1214,R1203:R1214,U1203:U1214,X1203:X1214,AA1203:AA1214,AD1203:AD1214,AG1203:AG1214,AJ1203:AJ1214,AM1203:AM1214,AP1203:AP1214,AS1203:AS1214)</f>
        <v>0</v>
      </c>
    </row>
    <row r="1211" spans="1:47" ht="14.45" customHeight="1">
      <c r="A1211" s="590"/>
      <c r="B1211" s="641"/>
      <c r="C1211" s="593"/>
      <c r="D1211" s="596"/>
      <c r="E1211" s="599"/>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583"/>
    </row>
    <row r="1212" spans="1:47" ht="14.45" customHeight="1">
      <c r="A1212" s="590"/>
      <c r="B1212" s="641"/>
      <c r="C1212" s="593"/>
      <c r="D1212" s="596"/>
      <c r="E1212" s="599"/>
      <c r="F1212" s="2" t="s">
        <v>311</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590"/>
      <c r="B1213" s="641"/>
      <c r="C1213" s="593"/>
      <c r="D1213" s="596"/>
      <c r="E1213" s="599"/>
      <c r="F1213" s="2" t="s">
        <v>312</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584" t="e">
        <f>AU1210/AU1204</f>
        <v>#DIV/0!</v>
      </c>
    </row>
    <row r="1214" spans="1:47" ht="15" customHeight="1">
      <c r="A1214" s="591"/>
      <c r="B1214" s="642"/>
      <c r="C1214" s="594"/>
      <c r="D1214" s="597"/>
      <c r="E1214" s="600"/>
      <c r="F1214" s="67" t="s">
        <v>313</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585"/>
    </row>
    <row r="1215" spans="1:47" ht="15" customHeight="1">
      <c r="A1215" s="494" t="s">
        <v>22</v>
      </c>
      <c r="B1215" s="602" t="s">
        <v>18</v>
      </c>
      <c r="C1215" s="524" t="s">
        <v>19</v>
      </c>
      <c r="D1215" s="524" t="s">
        <v>203</v>
      </c>
      <c r="E1215" s="524" t="s">
        <v>21</v>
      </c>
      <c r="F1215" s="586" t="s">
        <v>23</v>
      </c>
      <c r="G1215" s="504" t="s">
        <v>24</v>
      </c>
      <c r="H1215" s="494" t="s">
        <v>25</v>
      </c>
      <c r="I1215" s="496" t="s">
        <v>26</v>
      </c>
      <c r="J1215" s="504" t="s">
        <v>24</v>
      </c>
      <c r="K1215" s="494" t="s">
        <v>25</v>
      </c>
      <c r="L1215" s="496" t="s">
        <v>26</v>
      </c>
      <c r="M1215" s="504" t="s">
        <v>24</v>
      </c>
      <c r="N1215" s="494" t="s">
        <v>25</v>
      </c>
      <c r="O1215" s="496" t="s">
        <v>26</v>
      </c>
      <c r="P1215" s="504" t="s">
        <v>24</v>
      </c>
      <c r="Q1215" s="494" t="s">
        <v>25</v>
      </c>
      <c r="R1215" s="496" t="s">
        <v>26</v>
      </c>
      <c r="S1215" s="504" t="s">
        <v>24</v>
      </c>
      <c r="T1215" s="494" t="s">
        <v>25</v>
      </c>
      <c r="U1215" s="496" t="s">
        <v>26</v>
      </c>
      <c r="V1215" s="504" t="s">
        <v>24</v>
      </c>
      <c r="W1215" s="494" t="s">
        <v>25</v>
      </c>
      <c r="X1215" s="534" t="s">
        <v>26</v>
      </c>
      <c r="Y1215" s="504" t="s">
        <v>24</v>
      </c>
      <c r="Z1215" s="494" t="s">
        <v>25</v>
      </c>
      <c r="AA1215" s="496" t="s">
        <v>26</v>
      </c>
      <c r="AB1215" s="504" t="s">
        <v>24</v>
      </c>
      <c r="AC1215" s="494" t="s">
        <v>25</v>
      </c>
      <c r="AD1215" s="496" t="s">
        <v>26</v>
      </c>
      <c r="AE1215" s="504" t="s">
        <v>24</v>
      </c>
      <c r="AF1215" s="494" t="s">
        <v>25</v>
      </c>
      <c r="AG1215" s="496" t="s">
        <v>26</v>
      </c>
      <c r="AH1215" s="504" t="s">
        <v>24</v>
      </c>
      <c r="AI1215" s="494" t="s">
        <v>25</v>
      </c>
      <c r="AJ1215" s="496" t="s">
        <v>26</v>
      </c>
      <c r="AK1215" s="504" t="s">
        <v>24</v>
      </c>
      <c r="AL1215" s="494" t="s">
        <v>25</v>
      </c>
      <c r="AM1215" s="496" t="s">
        <v>26</v>
      </c>
      <c r="AN1215" s="504" t="s">
        <v>24</v>
      </c>
      <c r="AO1215" s="494" t="s">
        <v>25</v>
      </c>
      <c r="AP1215" s="496" t="s">
        <v>26</v>
      </c>
      <c r="AQ1215" s="504" t="s">
        <v>24</v>
      </c>
      <c r="AR1215" s="494" t="s">
        <v>25</v>
      </c>
      <c r="AS1215" s="496" t="s">
        <v>26</v>
      </c>
      <c r="AT1215" s="604" t="s">
        <v>24</v>
      </c>
      <c r="AU1215" s="601" t="s">
        <v>27</v>
      </c>
    </row>
    <row r="1216" spans="1:47" ht="15" customHeight="1">
      <c r="A1216" s="495"/>
      <c r="B1216" s="603"/>
      <c r="C1216" s="525"/>
      <c r="D1216" s="525"/>
      <c r="E1216" s="525"/>
      <c r="F1216" s="550"/>
      <c r="G1216" s="505"/>
      <c r="H1216" s="495"/>
      <c r="I1216" s="497"/>
      <c r="J1216" s="505"/>
      <c r="K1216" s="495"/>
      <c r="L1216" s="497"/>
      <c r="M1216" s="505"/>
      <c r="N1216" s="495"/>
      <c r="O1216" s="497"/>
      <c r="P1216" s="505"/>
      <c r="Q1216" s="495"/>
      <c r="R1216" s="497"/>
      <c r="S1216" s="505"/>
      <c r="T1216" s="495"/>
      <c r="U1216" s="497"/>
      <c r="V1216" s="505"/>
      <c r="W1216" s="495"/>
      <c r="X1216" s="535"/>
      <c r="Y1216" s="505"/>
      <c r="Z1216" s="495"/>
      <c r="AA1216" s="497"/>
      <c r="AB1216" s="505"/>
      <c r="AC1216" s="495"/>
      <c r="AD1216" s="497"/>
      <c r="AE1216" s="505"/>
      <c r="AF1216" s="495"/>
      <c r="AG1216" s="497"/>
      <c r="AH1216" s="505"/>
      <c r="AI1216" s="495"/>
      <c r="AJ1216" s="497"/>
      <c r="AK1216" s="505"/>
      <c r="AL1216" s="495"/>
      <c r="AM1216" s="497"/>
      <c r="AN1216" s="505"/>
      <c r="AO1216" s="495"/>
      <c r="AP1216" s="497"/>
      <c r="AQ1216" s="505"/>
      <c r="AR1216" s="495"/>
      <c r="AS1216" s="497"/>
      <c r="AT1216" s="588"/>
      <c r="AU1216" s="514"/>
    </row>
    <row r="1217" spans="1:47" ht="15" customHeight="1">
      <c r="A1217" s="589" t="s">
        <v>247</v>
      </c>
      <c r="B1217" s="640" t="s">
        <v>542</v>
      </c>
      <c r="C1217" s="592">
        <v>1427</v>
      </c>
      <c r="D1217" s="605"/>
      <c r="E1217" s="598" t="s">
        <v>543</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590"/>
      <c r="B1218" s="641"/>
      <c r="C1218" s="593"/>
      <c r="D1218" s="606"/>
      <c r="E1218" s="599"/>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582">
        <f>SUM(G1217:G1228,J1217:J1228,M1217:M1228,P1217:P1228,S1217:S1228,AT1217:AT1228,V1217:V1228,Y1217:Y1228,AB1217:AB1228,AE1217:AE1228,AH1217:AH1228,AK1217:AK1228,AN1217:AN1228,AQ1217:AQ1228)</f>
        <v>0</v>
      </c>
    </row>
    <row r="1219" spans="1:47" ht="14.45" customHeight="1">
      <c r="A1219" s="590"/>
      <c r="B1219" s="641"/>
      <c r="C1219" s="593"/>
      <c r="D1219" s="606"/>
      <c r="E1219" s="599"/>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583"/>
    </row>
    <row r="1220" spans="1:47" ht="14.45" customHeight="1">
      <c r="A1220" s="590"/>
      <c r="B1220" s="641"/>
      <c r="C1220" s="593"/>
      <c r="D1220" s="606"/>
      <c r="E1220" s="599"/>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590"/>
      <c r="B1221" s="641"/>
      <c r="C1221" s="593"/>
      <c r="D1221" s="606"/>
      <c r="E1221" s="599"/>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582">
        <f>SUM(H1217:H1228,K1217:K1228,N1217:N1228,Q1217:Q1228,T1217:T1228,W1217:W1228,Z1217:Z1228,AC1217:AC1228,AF1217:AF1228,AI1217:AI1228,AL1217:AL1228,AO1217:AO1228,AR1217:AR1228)</f>
        <v>0</v>
      </c>
    </row>
    <row r="1222" spans="1:47" ht="14.45" customHeight="1">
      <c r="A1222" s="590"/>
      <c r="B1222" s="641"/>
      <c r="C1222" s="593"/>
      <c r="D1222" s="606"/>
      <c r="E1222" s="599"/>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583"/>
    </row>
    <row r="1223" spans="1:47" ht="14.45" customHeight="1">
      <c r="A1223" s="590"/>
      <c r="B1223" s="641"/>
      <c r="C1223" s="593"/>
      <c r="D1223" s="606"/>
      <c r="E1223" s="599"/>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590"/>
      <c r="B1224" s="641"/>
      <c r="C1224" s="593"/>
      <c r="D1224" s="606"/>
      <c r="E1224" s="599"/>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582">
        <f>SUM(I1217:I1228,L1217:L1228,O1217:O1228,R1217:R1228,U1217:U1228,X1217:X1228,AA1217:AA1228,AD1217:AD1228,AG1217:AG1228,AJ1217:AJ1228,AM1217:AM1228,AP1217:AP1228,AS1217:AS1228)</f>
        <v>0</v>
      </c>
    </row>
    <row r="1225" spans="1:47" ht="14.45" customHeight="1">
      <c r="A1225" s="590"/>
      <c r="B1225" s="641"/>
      <c r="C1225" s="593"/>
      <c r="D1225" s="606"/>
      <c r="E1225" s="599"/>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583"/>
    </row>
    <row r="1226" spans="1:47" ht="14.45" customHeight="1">
      <c r="A1226" s="590"/>
      <c r="B1226" s="641"/>
      <c r="C1226" s="593"/>
      <c r="D1226" s="606"/>
      <c r="E1226" s="599"/>
      <c r="F1226" s="2" t="s">
        <v>311</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590"/>
      <c r="B1227" s="641"/>
      <c r="C1227" s="593"/>
      <c r="D1227" s="606"/>
      <c r="E1227" s="599"/>
      <c r="F1227" s="2" t="s">
        <v>312</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584" t="e">
        <f>AU1224/AU1218</f>
        <v>#DIV/0!</v>
      </c>
    </row>
    <row r="1228" spans="1:47" ht="15" customHeight="1">
      <c r="A1228" s="591"/>
      <c r="B1228" s="642"/>
      <c r="C1228" s="594"/>
      <c r="D1228" s="607"/>
      <c r="E1228" s="600"/>
      <c r="F1228" s="67" t="s">
        <v>313</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585"/>
    </row>
    <row r="1229" spans="1:47" ht="15" customHeight="1">
      <c r="A1229" s="494" t="s">
        <v>22</v>
      </c>
      <c r="B1229" s="602" t="s">
        <v>18</v>
      </c>
      <c r="C1229" s="524" t="s">
        <v>19</v>
      </c>
      <c r="D1229" s="524" t="s">
        <v>203</v>
      </c>
      <c r="E1229" s="524" t="s">
        <v>21</v>
      </c>
      <c r="F1229" s="586" t="s">
        <v>23</v>
      </c>
      <c r="G1229" s="504" t="s">
        <v>24</v>
      </c>
      <c r="H1229" s="494" t="s">
        <v>25</v>
      </c>
      <c r="I1229" s="496" t="s">
        <v>26</v>
      </c>
      <c r="J1229" s="504" t="s">
        <v>24</v>
      </c>
      <c r="K1229" s="494" t="s">
        <v>25</v>
      </c>
      <c r="L1229" s="496" t="s">
        <v>26</v>
      </c>
      <c r="M1229" s="504" t="s">
        <v>24</v>
      </c>
      <c r="N1229" s="494" t="s">
        <v>25</v>
      </c>
      <c r="O1229" s="496" t="s">
        <v>26</v>
      </c>
      <c r="P1229" s="504" t="s">
        <v>24</v>
      </c>
      <c r="Q1229" s="494" t="s">
        <v>25</v>
      </c>
      <c r="R1229" s="496" t="s">
        <v>26</v>
      </c>
      <c r="S1229" s="504" t="s">
        <v>24</v>
      </c>
      <c r="T1229" s="494" t="s">
        <v>25</v>
      </c>
      <c r="U1229" s="496" t="s">
        <v>26</v>
      </c>
      <c r="V1229" s="504" t="s">
        <v>24</v>
      </c>
      <c r="W1229" s="494" t="s">
        <v>25</v>
      </c>
      <c r="X1229" s="534" t="s">
        <v>26</v>
      </c>
      <c r="Y1229" s="504" t="s">
        <v>24</v>
      </c>
      <c r="Z1229" s="494" t="s">
        <v>25</v>
      </c>
      <c r="AA1229" s="496" t="s">
        <v>26</v>
      </c>
      <c r="AB1229" s="504" t="s">
        <v>24</v>
      </c>
      <c r="AC1229" s="494" t="s">
        <v>25</v>
      </c>
      <c r="AD1229" s="496" t="s">
        <v>26</v>
      </c>
      <c r="AE1229" s="504" t="s">
        <v>24</v>
      </c>
      <c r="AF1229" s="494" t="s">
        <v>25</v>
      </c>
      <c r="AG1229" s="496" t="s">
        <v>26</v>
      </c>
      <c r="AH1229" s="504" t="s">
        <v>24</v>
      </c>
      <c r="AI1229" s="494" t="s">
        <v>25</v>
      </c>
      <c r="AJ1229" s="496" t="s">
        <v>26</v>
      </c>
      <c r="AK1229" s="504" t="s">
        <v>24</v>
      </c>
      <c r="AL1229" s="494" t="s">
        <v>25</v>
      </c>
      <c r="AM1229" s="496" t="s">
        <v>26</v>
      </c>
      <c r="AN1229" s="504" t="s">
        <v>24</v>
      </c>
      <c r="AO1229" s="494" t="s">
        <v>25</v>
      </c>
      <c r="AP1229" s="496" t="s">
        <v>26</v>
      </c>
      <c r="AQ1229" s="504" t="s">
        <v>24</v>
      </c>
      <c r="AR1229" s="494" t="s">
        <v>25</v>
      </c>
      <c r="AS1229" s="496" t="s">
        <v>26</v>
      </c>
      <c r="AT1229" s="604" t="s">
        <v>24</v>
      </c>
      <c r="AU1229" s="601" t="s">
        <v>27</v>
      </c>
    </row>
    <row r="1230" spans="1:47" ht="15" customHeight="1">
      <c r="A1230" s="495"/>
      <c r="B1230" s="603"/>
      <c r="C1230" s="525"/>
      <c r="D1230" s="525"/>
      <c r="E1230" s="525"/>
      <c r="F1230" s="550"/>
      <c r="G1230" s="505"/>
      <c r="H1230" s="495"/>
      <c r="I1230" s="497"/>
      <c r="J1230" s="505"/>
      <c r="K1230" s="495"/>
      <c r="L1230" s="497"/>
      <c r="M1230" s="505"/>
      <c r="N1230" s="495"/>
      <c r="O1230" s="497"/>
      <c r="P1230" s="505"/>
      <c r="Q1230" s="495"/>
      <c r="R1230" s="497"/>
      <c r="S1230" s="505"/>
      <c r="T1230" s="495"/>
      <c r="U1230" s="497"/>
      <c r="V1230" s="505"/>
      <c r="W1230" s="495"/>
      <c r="X1230" s="535"/>
      <c r="Y1230" s="505"/>
      <c r="Z1230" s="495"/>
      <c r="AA1230" s="497"/>
      <c r="AB1230" s="505"/>
      <c r="AC1230" s="495"/>
      <c r="AD1230" s="497"/>
      <c r="AE1230" s="505"/>
      <c r="AF1230" s="495"/>
      <c r="AG1230" s="497"/>
      <c r="AH1230" s="505"/>
      <c r="AI1230" s="495"/>
      <c r="AJ1230" s="497"/>
      <c r="AK1230" s="505"/>
      <c r="AL1230" s="495"/>
      <c r="AM1230" s="497"/>
      <c r="AN1230" s="505"/>
      <c r="AO1230" s="495"/>
      <c r="AP1230" s="497"/>
      <c r="AQ1230" s="505"/>
      <c r="AR1230" s="495"/>
      <c r="AS1230" s="497"/>
      <c r="AT1230" s="588"/>
      <c r="AU1230" s="514"/>
    </row>
    <row r="1231" spans="1:47" ht="15" customHeight="1">
      <c r="A1231" s="589" t="s">
        <v>245</v>
      </c>
      <c r="B1231" s="640" t="s">
        <v>544</v>
      </c>
      <c r="C1231" s="592">
        <v>1229</v>
      </c>
      <c r="D1231" s="595" t="s">
        <v>545</v>
      </c>
      <c r="E1231" s="598" t="s">
        <v>546</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590"/>
      <c r="B1232" s="641"/>
      <c r="C1232" s="593"/>
      <c r="D1232" s="596"/>
      <c r="E1232" s="599"/>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582">
        <f>SUM(G1231:G1242,J1231:J1242,M1231:M1242,P1231:P1242,S1231:S1242,V1231:V1242,Y1231:Y1242,AB1231:AB1242,AE1231:AE1242,AH1231:AH1242,AK1231:AK1242,AT1231:AT1242,AN1231:AN1242,AQ1231:AQ1242)</f>
        <v>0</v>
      </c>
    </row>
    <row r="1233" spans="1:47" ht="14.45" customHeight="1">
      <c r="A1233" s="590"/>
      <c r="B1233" s="641"/>
      <c r="C1233" s="593"/>
      <c r="D1233" s="596"/>
      <c r="E1233" s="599"/>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583"/>
    </row>
    <row r="1234" spans="1:47" ht="14.45" customHeight="1">
      <c r="A1234" s="590"/>
      <c r="B1234" s="641"/>
      <c r="C1234" s="593"/>
      <c r="D1234" s="596"/>
      <c r="E1234" s="599"/>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590"/>
      <c r="B1235" s="641"/>
      <c r="C1235" s="593"/>
      <c r="D1235" s="596"/>
      <c r="E1235" s="599"/>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582">
        <f>SUM(H1231:H1242,K1231:K1242,N1231:N1242,Q1231:Q1242,T1231:T1242,W1231:W1242,Z1231:Z1242,AC1231:AC1242,AF1231:AF1242,AI1231:AI1242,AL1231:AL1242,AO1231:AO1242,AR1231:AR1242)</f>
        <v>0</v>
      </c>
    </row>
    <row r="1236" spans="1:47" ht="14.45" customHeight="1">
      <c r="A1236" s="590"/>
      <c r="B1236" s="641"/>
      <c r="C1236" s="593"/>
      <c r="D1236" s="596"/>
      <c r="E1236" s="599"/>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583"/>
    </row>
    <row r="1237" spans="1:47" ht="14.45" customHeight="1">
      <c r="A1237" s="590"/>
      <c r="B1237" s="641"/>
      <c r="C1237" s="593"/>
      <c r="D1237" s="596"/>
      <c r="E1237" s="599"/>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590"/>
      <c r="B1238" s="641"/>
      <c r="C1238" s="593"/>
      <c r="D1238" s="596"/>
      <c r="E1238" s="599"/>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582">
        <f>SUM(I1231:I1242,L1231:L1242,O1231:O1242,R1231:R1242,U1231:U1242,X1231:X1242,AA1231:AA1242,AD1231:AD1242,AG1231:AG1242,AJ1231:AJ1242,AM1231:AM1242,AP1231:AP1242,AS1231:AS1242)</f>
        <v>0</v>
      </c>
    </row>
    <row r="1239" spans="1:47" ht="14.45" customHeight="1">
      <c r="A1239" s="590"/>
      <c r="B1239" s="641"/>
      <c r="C1239" s="593"/>
      <c r="D1239" s="596"/>
      <c r="E1239" s="599"/>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583"/>
    </row>
    <row r="1240" spans="1:47" ht="14.45" customHeight="1">
      <c r="A1240" s="590"/>
      <c r="B1240" s="641"/>
      <c r="C1240" s="593"/>
      <c r="D1240" s="596"/>
      <c r="E1240" s="599"/>
      <c r="F1240" s="2" t="s">
        <v>311</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590"/>
      <c r="B1241" s="641"/>
      <c r="C1241" s="593"/>
      <c r="D1241" s="596"/>
      <c r="E1241" s="599"/>
      <c r="F1241" s="2" t="s">
        <v>312</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584" t="e">
        <f>AU1238/AU1232</f>
        <v>#DIV/0!</v>
      </c>
    </row>
    <row r="1242" spans="1:47" ht="15" customHeight="1">
      <c r="A1242" s="591"/>
      <c r="B1242" s="642"/>
      <c r="C1242" s="594"/>
      <c r="D1242" s="597"/>
      <c r="E1242" s="600"/>
      <c r="F1242" s="67" t="s">
        <v>313</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658"/>
    </row>
    <row r="1243" spans="1:47" ht="15" customHeight="1">
      <c r="A1243" s="467" t="s">
        <v>22</v>
      </c>
      <c r="B1243" s="643" t="s">
        <v>18</v>
      </c>
      <c r="C1243" s="490" t="s">
        <v>19</v>
      </c>
      <c r="D1243" s="490" t="s">
        <v>203</v>
      </c>
      <c r="E1243" s="490" t="s">
        <v>21</v>
      </c>
      <c r="F1243" s="586" t="s">
        <v>23</v>
      </c>
      <c r="G1243" s="465" t="s">
        <v>24</v>
      </c>
      <c r="H1243" s="467" t="s">
        <v>25</v>
      </c>
      <c r="I1243" s="469" t="s">
        <v>26</v>
      </c>
      <c r="J1243" s="465" t="s">
        <v>24</v>
      </c>
      <c r="K1243" s="467" t="s">
        <v>25</v>
      </c>
      <c r="L1243" s="469" t="s">
        <v>26</v>
      </c>
      <c r="M1243" s="465" t="s">
        <v>24</v>
      </c>
      <c r="N1243" s="467" t="s">
        <v>25</v>
      </c>
      <c r="O1243" s="469" t="s">
        <v>26</v>
      </c>
      <c r="P1243" s="465" t="s">
        <v>24</v>
      </c>
      <c r="Q1243" s="467" t="s">
        <v>25</v>
      </c>
      <c r="R1243" s="469" t="s">
        <v>26</v>
      </c>
      <c r="S1243" s="465" t="s">
        <v>24</v>
      </c>
      <c r="T1243" s="467" t="s">
        <v>25</v>
      </c>
      <c r="U1243" s="469" t="s">
        <v>26</v>
      </c>
      <c r="V1243" s="465" t="s">
        <v>24</v>
      </c>
      <c r="W1243" s="467" t="s">
        <v>25</v>
      </c>
      <c r="X1243" s="639" t="s">
        <v>26</v>
      </c>
      <c r="Y1243" s="465" t="s">
        <v>24</v>
      </c>
      <c r="Z1243" s="467" t="s">
        <v>25</v>
      </c>
      <c r="AA1243" s="469" t="s">
        <v>26</v>
      </c>
      <c r="AB1243" s="465" t="s">
        <v>24</v>
      </c>
      <c r="AC1243" s="467" t="s">
        <v>25</v>
      </c>
      <c r="AD1243" s="469" t="s">
        <v>26</v>
      </c>
      <c r="AE1243" s="465" t="s">
        <v>24</v>
      </c>
      <c r="AF1243" s="467" t="s">
        <v>25</v>
      </c>
      <c r="AG1243" s="469" t="s">
        <v>26</v>
      </c>
      <c r="AH1243" s="465" t="s">
        <v>24</v>
      </c>
      <c r="AI1243" s="467" t="s">
        <v>25</v>
      </c>
      <c r="AJ1243" s="469" t="s">
        <v>26</v>
      </c>
      <c r="AK1243" s="465" t="s">
        <v>24</v>
      </c>
      <c r="AL1243" s="467" t="s">
        <v>25</v>
      </c>
      <c r="AM1243" s="469" t="s">
        <v>26</v>
      </c>
      <c r="AN1243" s="465" t="s">
        <v>24</v>
      </c>
      <c r="AO1243" s="467" t="s">
        <v>25</v>
      </c>
      <c r="AP1243" s="469" t="s">
        <v>26</v>
      </c>
      <c r="AQ1243" s="465" t="s">
        <v>24</v>
      </c>
      <c r="AR1243" s="467" t="s">
        <v>25</v>
      </c>
      <c r="AS1243" s="469" t="s">
        <v>26</v>
      </c>
      <c r="AT1243" s="609" t="s">
        <v>24</v>
      </c>
      <c r="AU1243" s="513" t="s">
        <v>27</v>
      </c>
    </row>
    <row r="1244" spans="1:47" ht="15" customHeight="1">
      <c r="A1244" s="468"/>
      <c r="B1244" s="644"/>
      <c r="C1244" s="491"/>
      <c r="D1244" s="491"/>
      <c r="E1244" s="491"/>
      <c r="F1244" s="550"/>
      <c r="G1244" s="466"/>
      <c r="H1244" s="468"/>
      <c r="I1244" s="470"/>
      <c r="J1244" s="466"/>
      <c r="K1244" s="468"/>
      <c r="L1244" s="470"/>
      <c r="M1244" s="466"/>
      <c r="N1244" s="468"/>
      <c r="O1244" s="470"/>
      <c r="P1244" s="466"/>
      <c r="Q1244" s="468"/>
      <c r="R1244" s="470"/>
      <c r="S1244" s="466"/>
      <c r="T1244" s="468"/>
      <c r="U1244" s="470"/>
      <c r="V1244" s="466"/>
      <c r="W1244" s="468"/>
      <c r="X1244" s="551"/>
      <c r="Y1244" s="466"/>
      <c r="Z1244" s="468"/>
      <c r="AA1244" s="470"/>
      <c r="AB1244" s="466"/>
      <c r="AC1244" s="468"/>
      <c r="AD1244" s="470"/>
      <c r="AE1244" s="466"/>
      <c r="AF1244" s="468"/>
      <c r="AG1244" s="470"/>
      <c r="AH1244" s="466"/>
      <c r="AI1244" s="468"/>
      <c r="AJ1244" s="470"/>
      <c r="AK1244" s="466"/>
      <c r="AL1244" s="468"/>
      <c r="AM1244" s="470"/>
      <c r="AN1244" s="466"/>
      <c r="AO1244" s="468"/>
      <c r="AP1244" s="470"/>
      <c r="AQ1244" s="466"/>
      <c r="AR1244" s="468"/>
      <c r="AS1244" s="470"/>
      <c r="AT1244" s="587"/>
      <c r="AU1244" s="514"/>
    </row>
    <row r="1245" spans="1:47" ht="15" customHeight="1">
      <c r="A1245" s="610" t="s">
        <v>245</v>
      </c>
      <c r="B1245" s="645" t="s">
        <v>547</v>
      </c>
      <c r="C1245" s="613">
        <v>2130</v>
      </c>
      <c r="D1245" s="616">
        <v>756</v>
      </c>
      <c r="E1245" s="619" t="s">
        <v>548</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611"/>
      <c r="B1246" s="646"/>
      <c r="C1246" s="614"/>
      <c r="D1246" s="617"/>
      <c r="E1246" s="620"/>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582">
        <f>SUM(G1245:G1256,J1245:J1256,M1245:M1256,P1245:P1256,S1245:S1256,AT1245:AT1256,V1245:V1256,Y1245:Y1256,AB1245:AB1256,AE1245:AE1256,AH1245:AH1256,AK1245:AK1256,AN1245:AN1256,AQ1245:AQ1256)</f>
        <v>0</v>
      </c>
    </row>
    <row r="1247" spans="1:47" ht="14.45" customHeight="1">
      <c r="A1247" s="611"/>
      <c r="B1247" s="646"/>
      <c r="C1247" s="614"/>
      <c r="D1247" s="617"/>
      <c r="E1247" s="620"/>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583"/>
    </row>
    <row r="1248" spans="1:47" ht="14.45" customHeight="1">
      <c r="A1248" s="611"/>
      <c r="B1248" s="646"/>
      <c r="C1248" s="614"/>
      <c r="D1248" s="617"/>
      <c r="E1248" s="620"/>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611"/>
      <c r="B1249" s="646"/>
      <c r="C1249" s="614"/>
      <c r="D1249" s="617"/>
      <c r="E1249" s="620"/>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582">
        <f>SUM(H1245:H1256,K1245:K1256,N1245:N1256,Q1245:Q1256,T1245:T1256,W1245:W1256,Z1245:Z1256,AC1245:AC1256,AF1245:AF1256,AI1245:AI1256,AL1245:AL1256,AO1245:AO1256,AR1245:AR1256)</f>
        <v>0</v>
      </c>
    </row>
    <row r="1250" spans="1:47" ht="14.45" customHeight="1">
      <c r="A1250" s="611"/>
      <c r="B1250" s="646"/>
      <c r="C1250" s="614"/>
      <c r="D1250" s="617"/>
      <c r="E1250" s="620"/>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583"/>
    </row>
    <row r="1251" spans="1:47" ht="14.45" customHeight="1">
      <c r="A1251" s="611"/>
      <c r="B1251" s="646"/>
      <c r="C1251" s="614"/>
      <c r="D1251" s="617"/>
      <c r="E1251" s="620"/>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611"/>
      <c r="B1252" s="646"/>
      <c r="C1252" s="614"/>
      <c r="D1252" s="617"/>
      <c r="E1252" s="620"/>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582">
        <f>SUM(I1245:I1256,L1245:L1256,O1245:O1256,R1245:R1256,U1245:U1256,X1245:X1256,AA1245:AA1256,AD1245:AD1256,AG1245:AG1256,AJ1245:AJ1256,AM1245:AM1256,AP1245:AP1256,AS1245:AS1256)</f>
        <v>0</v>
      </c>
    </row>
    <row r="1253" spans="1:47" ht="14.45" customHeight="1">
      <c r="A1253" s="611"/>
      <c r="B1253" s="646"/>
      <c r="C1253" s="614"/>
      <c r="D1253" s="617"/>
      <c r="E1253" s="620"/>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583"/>
    </row>
    <row r="1254" spans="1:47" ht="13.5" customHeight="1">
      <c r="A1254" s="611"/>
      <c r="B1254" s="646"/>
      <c r="C1254" s="614"/>
      <c r="D1254" s="617"/>
      <c r="E1254" s="620"/>
      <c r="F1254" s="96" t="s">
        <v>311</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611"/>
      <c r="B1255" s="646"/>
      <c r="C1255" s="614"/>
      <c r="D1255" s="617"/>
      <c r="E1255" s="620"/>
      <c r="F1255" s="96" t="s">
        <v>312</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584" t="e">
        <f>AU1252/AU1246</f>
        <v>#DIV/0!</v>
      </c>
    </row>
    <row r="1256" spans="1:47" ht="11.25" customHeight="1">
      <c r="A1256" s="612"/>
      <c r="B1256" s="647"/>
      <c r="C1256" s="615"/>
      <c r="D1256" s="618"/>
      <c r="E1256" s="620"/>
      <c r="F1256" s="97" t="s">
        <v>313</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608"/>
    </row>
    <row r="1257" spans="1:47" ht="21.75" customHeight="1">
      <c r="E1257" s="28"/>
      <c r="F1257" s="29" t="s">
        <v>233</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349640</v>
      </c>
      <c r="AD1257" s="110">
        <f t="shared" si="1517"/>
        <v>18213218</v>
      </c>
      <c r="AE1257" s="109">
        <f>SUM(AE5:AE1256)</f>
        <v>12865168</v>
      </c>
      <c r="AF1257" s="85">
        <f>SUM(AF5:AF1256)</f>
        <v>0</v>
      </c>
      <c r="AG1257" s="110">
        <f t="shared" si="1517"/>
        <v>12866600</v>
      </c>
      <c r="AH1257" s="109">
        <f>SUM(AH5:AH1256)</f>
        <v>152103715</v>
      </c>
      <c r="AI1257" s="85">
        <f t="shared" si="1517"/>
        <v>151053715</v>
      </c>
      <c r="AJ1257" s="110">
        <f t="shared" si="1517"/>
        <v>1050000</v>
      </c>
      <c r="AK1257" s="109">
        <f>SUM(AK5:AK1256)</f>
        <v>40474603</v>
      </c>
      <c r="AL1257" s="85">
        <f>SUM(AL5:AL1256)</f>
        <v>40474603</v>
      </c>
      <c r="AM1257" s="110">
        <f t="shared" ref="AM1257" si="1518">SUM(AM5:AM1256)</f>
        <v>0</v>
      </c>
      <c r="AN1257" s="109">
        <f t="shared" ref="AN1257" si="1519">SUM(AN5:AN1256)</f>
        <v>20983689</v>
      </c>
      <c r="AO1257" s="85">
        <f>SUM(AO5:AO1256)</f>
        <v>20983689</v>
      </c>
      <c r="AP1257" s="110">
        <f t="shared" ref="AP1257:AQ1257" si="1520">SUM(AP5:AP1256)</f>
        <v>0</v>
      </c>
      <c r="AQ1257" s="109">
        <f t="shared" si="1520"/>
        <v>10543536</v>
      </c>
      <c r="AR1257" s="85">
        <f>SUM(AR5:AR1256)</f>
        <v>10543536</v>
      </c>
      <c r="AS1257" s="110">
        <f t="shared" ref="AS1257" si="1521">SUM(AS5:AS1256)</f>
        <v>0</v>
      </c>
      <c r="AT1257" s="101">
        <f>SUM(AT5:AT1256)</f>
        <v>54690547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1.7226889576298039E-2</v>
      </c>
      <c r="AD1258" s="112">
        <f>AD1257/AB1257</f>
        <v>0.89737185480792758</v>
      </c>
      <c r="AE1258" s="111"/>
      <c r="AF1258" s="87">
        <f>AF1257/AE1257</f>
        <v>0</v>
      </c>
      <c r="AG1258" s="112">
        <f>AG1257/AE1257</f>
        <v>1.0001113083016093</v>
      </c>
      <c r="AH1258" s="111"/>
      <c r="AI1258" s="87">
        <f>AI1257/AH1257</f>
        <v>0.99309681555115203</v>
      </c>
      <c r="AJ1258" s="112">
        <f>AJ1257/AH1257</f>
        <v>6.9031844488479455E-3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632" t="s">
        <v>234</v>
      </c>
      <c r="F1260" s="633"/>
      <c r="G1260" s="634" t="s">
        <v>118</v>
      </c>
      <c r="H1260" s="635"/>
      <c r="I1260" s="636"/>
      <c r="J1260" s="634" t="s">
        <v>118</v>
      </c>
      <c r="K1260" s="635"/>
      <c r="L1260" s="636"/>
      <c r="M1260" s="634" t="s">
        <v>119</v>
      </c>
      <c r="N1260" s="635"/>
      <c r="O1260" s="636"/>
      <c r="P1260" s="498" t="s">
        <v>234</v>
      </c>
      <c r="Q1260" s="499"/>
      <c r="R1260" s="500"/>
      <c r="S1260" s="498" t="s">
        <v>234</v>
      </c>
      <c r="T1260" s="499"/>
      <c r="U1260" s="500"/>
      <c r="V1260" s="498" t="s">
        <v>234</v>
      </c>
      <c r="W1260" s="499"/>
      <c r="X1260" s="654"/>
      <c r="Y1260" s="498" t="s">
        <v>234</v>
      </c>
      <c r="Z1260" s="499"/>
      <c r="AA1260" s="500"/>
      <c r="AB1260" s="498" t="s">
        <v>234</v>
      </c>
      <c r="AC1260" s="499"/>
      <c r="AD1260" s="500"/>
      <c r="AE1260" s="498" t="s">
        <v>234</v>
      </c>
      <c r="AF1260" s="499"/>
      <c r="AG1260" s="500"/>
      <c r="AH1260" s="498" t="s">
        <v>234</v>
      </c>
      <c r="AI1260" s="499"/>
      <c r="AJ1260" s="500"/>
      <c r="AK1260" s="498" t="s">
        <v>234</v>
      </c>
      <c r="AL1260" s="499"/>
      <c r="AM1260" s="500"/>
      <c r="AN1260" s="498" t="s">
        <v>234</v>
      </c>
      <c r="AO1260" s="499"/>
      <c r="AP1260" s="500"/>
      <c r="AQ1260" s="498" t="s">
        <v>234</v>
      </c>
      <c r="AR1260" s="499"/>
      <c r="AS1260" s="500"/>
      <c r="AT1260" s="655" t="s">
        <v>17</v>
      </c>
      <c r="AU1260" s="635"/>
    </row>
    <row r="1261" spans="1:47" ht="30" customHeight="1">
      <c r="B1261"/>
      <c r="E1261" s="626" t="s">
        <v>549</v>
      </c>
      <c r="F1261" s="627"/>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236</v>
      </c>
    </row>
    <row r="1262" spans="1:47" ht="13.5" customHeight="1">
      <c r="B1262"/>
      <c r="E1262" s="637" t="s">
        <v>550</v>
      </c>
      <c r="F1262" s="638"/>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628" t="s">
        <v>551</v>
      </c>
      <c r="F1263" s="629"/>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f>1133019-834000</f>
        <v>299019</v>
      </c>
      <c r="AK1263" s="111"/>
      <c r="AL1263" s="55"/>
      <c r="AM1263" s="114">
        <f>SUM(AM1261*0.2)</f>
        <v>4715046.2</v>
      </c>
      <c r="AN1263" s="111"/>
      <c r="AO1263" s="55"/>
      <c r="AP1263" s="114">
        <f>SUM(AP1261*0.2)</f>
        <v>4715046.2</v>
      </c>
      <c r="AQ1263" s="111"/>
      <c r="AR1263" s="55"/>
      <c r="AS1263" s="114">
        <f>SUM(AS1261*0.2)</f>
        <v>4715046.2</v>
      </c>
      <c r="AT1263" s="138">
        <f>SUM(AT1261*0.2)</f>
        <v>4715046.2</v>
      </c>
      <c r="AU1263" s="88" t="s">
        <v>552</v>
      </c>
    </row>
    <row r="1264" spans="1:47" ht="13.5" customHeight="1">
      <c r="B1264"/>
      <c r="E1264" s="628" t="s">
        <v>553</v>
      </c>
      <c r="F1264" s="660"/>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f>3582027+834000</f>
        <v>4416027</v>
      </c>
      <c r="AK1264" s="111"/>
      <c r="AL1264" s="55"/>
      <c r="AM1264" s="114"/>
      <c r="AN1264" s="111"/>
      <c r="AO1264" s="55"/>
      <c r="AP1264" s="114"/>
      <c r="AQ1264" s="111"/>
      <c r="AR1264" s="55"/>
      <c r="AS1264" s="114"/>
      <c r="AT1264" s="138"/>
      <c r="AU1264" s="88"/>
    </row>
    <row r="1265" spans="1:55" ht="30" customHeight="1">
      <c r="A1265" s="35"/>
      <c r="B1265"/>
      <c r="E1265" s="630" t="s">
        <v>554</v>
      </c>
      <c r="F1265" s="631"/>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SUM(AM1261*0.8)</f>
        <v>18860184.800000001</v>
      </c>
      <c r="AN1265" s="111"/>
      <c r="AO1265" s="55"/>
      <c r="AP1265" s="114">
        <f>SUM(AP1261*0.8)</f>
        <v>18860184.800000001</v>
      </c>
      <c r="AQ1265" s="111"/>
      <c r="AR1265" s="55"/>
      <c r="AS1265" s="114">
        <f>SUM(AS1261*0.8)</f>
        <v>18860184.800000001</v>
      </c>
      <c r="AT1265" s="137">
        <f>SUM(AT1261*0.8)</f>
        <v>18860184.800000001</v>
      </c>
      <c r="AU1265" s="88" t="s">
        <v>555</v>
      </c>
    </row>
    <row r="1266" spans="1:55" ht="13.5" customHeight="1">
      <c r="A1266" s="35"/>
      <c r="B1266"/>
      <c r="E1266" s="656" t="s">
        <v>136</v>
      </c>
      <c r="F1266" s="657"/>
      <c r="G1266" s="501" t="s">
        <v>136</v>
      </c>
      <c r="H1266" s="502"/>
      <c r="I1266" s="503"/>
      <c r="J1266" s="501" t="s">
        <v>136</v>
      </c>
      <c r="K1266" s="502"/>
      <c r="L1266" s="503"/>
      <c r="M1266" s="501" t="s">
        <v>136</v>
      </c>
      <c r="N1266" s="502"/>
      <c r="O1266" s="503"/>
      <c r="P1266" s="501" t="s">
        <v>136</v>
      </c>
      <c r="Q1266" s="502"/>
      <c r="R1266" s="503"/>
      <c r="S1266" s="501" t="s">
        <v>136</v>
      </c>
      <c r="T1266" s="502"/>
      <c r="U1266" s="503"/>
      <c r="V1266" s="501" t="s">
        <v>136</v>
      </c>
      <c r="W1266" s="502"/>
      <c r="X1266" s="651"/>
      <c r="Y1266" s="501" t="s">
        <v>136</v>
      </c>
      <c r="Z1266" s="502"/>
      <c r="AA1266" s="503"/>
      <c r="AB1266" s="501" t="s">
        <v>136</v>
      </c>
      <c r="AC1266" s="502"/>
      <c r="AD1266" s="503"/>
      <c r="AE1266" s="501" t="s">
        <v>136</v>
      </c>
      <c r="AF1266" s="502"/>
      <c r="AG1266" s="503"/>
      <c r="AH1266" s="501" t="s">
        <v>136</v>
      </c>
      <c r="AI1266" s="502"/>
      <c r="AJ1266" s="503"/>
      <c r="AK1266" s="501" t="s">
        <v>136</v>
      </c>
      <c r="AL1266" s="502"/>
      <c r="AM1266" s="503"/>
      <c r="AN1266" s="501" t="s">
        <v>136</v>
      </c>
      <c r="AO1266" s="502"/>
      <c r="AP1266" s="503"/>
      <c r="AQ1266" s="501" t="s">
        <v>136</v>
      </c>
      <c r="AR1266" s="502"/>
      <c r="AS1266" s="503"/>
      <c r="AT1266" s="652" t="s">
        <v>137</v>
      </c>
      <c r="AU1266" s="653"/>
    </row>
    <row r="1267" spans="1:55" ht="27.75" customHeight="1">
      <c r="A1267" s="35"/>
      <c r="B1267"/>
      <c r="E1267" s="626" t="s">
        <v>237</v>
      </c>
      <c r="F1267" s="627"/>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146656194.80000001</v>
      </c>
      <c r="AK1267" s="111"/>
      <c r="AL1267" s="55"/>
      <c r="AM1267" s="114">
        <f>AJ1272</f>
        <v>20605863.600000024</v>
      </c>
      <c r="AN1267" s="111"/>
      <c r="AO1267" s="55"/>
      <c r="AP1267" s="114">
        <f>AM1272</f>
        <v>-1008554.5999999791</v>
      </c>
      <c r="AQ1267" s="111"/>
      <c r="AR1267" s="55"/>
      <c r="AS1267" s="114">
        <f>AP1272</f>
        <v>-3132058.7999999784</v>
      </c>
      <c r="AT1267" s="137"/>
      <c r="AU1267" s="55"/>
    </row>
    <row r="1268" spans="1:55" ht="33.75" customHeight="1">
      <c r="A1268" s="35"/>
      <c r="B1268"/>
      <c r="C1268" s="35"/>
      <c r="E1268" s="628" t="s">
        <v>556</v>
      </c>
      <c r="F1268" s="629"/>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t="s">
        <v>557</v>
      </c>
      <c r="AJ1268" s="114">
        <f>AJ1265+AJ1262</f>
        <v>21637356.800000001</v>
      </c>
      <c r="AK1268" s="111"/>
      <c r="AL1268" s="55"/>
      <c r="AM1268" s="114">
        <f>AM1265</f>
        <v>18860184.800000001</v>
      </c>
      <c r="AN1268" s="111"/>
      <c r="AO1268" s="55"/>
      <c r="AP1268" s="114">
        <f>AP1265</f>
        <v>18860184.800000001</v>
      </c>
      <c r="AQ1268" s="111"/>
      <c r="AR1268" s="55"/>
      <c r="AS1268" s="114">
        <f>AS1265</f>
        <v>18860184.800000001</v>
      </c>
      <c r="AT1268" s="102"/>
      <c r="AU1268" s="55"/>
    </row>
    <row r="1269" spans="1:55">
      <c r="B1269"/>
      <c r="E1269" s="628" t="s">
        <v>239</v>
      </c>
      <c r="F1269" s="629"/>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172709578.60000002</v>
      </c>
      <c r="AK1269" s="111"/>
      <c r="AL1269" s="55"/>
      <c r="AM1269" s="115">
        <f>SUM(AM1267:AM1268,AM1264)</f>
        <v>39466048.400000021</v>
      </c>
      <c r="AN1269" s="111"/>
      <c r="AO1269" s="55"/>
      <c r="AP1269" s="115">
        <f>SUM(AP1267:AP1268,AP1264)</f>
        <v>17851630.200000022</v>
      </c>
      <c r="AQ1269" s="111"/>
      <c r="AR1269" s="55"/>
      <c r="AS1269" s="115">
        <f>SUM(AS1267:AS1268,AS1264)</f>
        <v>15728126.000000022</v>
      </c>
      <c r="AT1269" s="137">
        <f>AT1265</f>
        <v>18860184.800000001</v>
      </c>
      <c r="AU1269" s="55" t="s">
        <v>139</v>
      </c>
    </row>
    <row r="1270" spans="1:55">
      <c r="B1270" s="146"/>
      <c r="E1270" s="628" t="s">
        <v>140</v>
      </c>
      <c r="F1270" s="629"/>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-349640</v>
      </c>
      <c r="AE1270" s="111"/>
      <c r="AF1270" s="55"/>
      <c r="AG1270" s="114">
        <f>AF1257*-1</f>
        <v>0</v>
      </c>
      <c r="AH1270" s="111"/>
      <c r="AI1270" s="55"/>
      <c r="AJ1270" s="114">
        <f>AI1257*-1</f>
        <v>-151053715</v>
      </c>
      <c r="AK1270" s="111"/>
      <c r="AL1270" s="55"/>
      <c r="AM1270" s="114">
        <f>AL1257*-1</f>
        <v>-40474603</v>
      </c>
      <c r="AN1270" s="111"/>
      <c r="AO1270" s="55"/>
      <c r="AP1270" s="114">
        <f>AO1257*-1</f>
        <v>-20983689</v>
      </c>
      <c r="AQ1270" s="111"/>
      <c r="AR1270" s="55"/>
      <c r="AS1270" s="114">
        <f>AR1257*-1</f>
        <v>-10543536</v>
      </c>
      <c r="AT1270" s="139">
        <f>AT1257*-1</f>
        <v>-54690547</v>
      </c>
      <c r="AU1270" s="89" t="s">
        <v>141</v>
      </c>
    </row>
    <row r="1271" spans="1:55">
      <c r="B1271"/>
      <c r="E1271" s="622" t="s">
        <v>142</v>
      </c>
      <c r="F1271" s="623"/>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-12866600</v>
      </c>
      <c r="AH1271" s="111"/>
      <c r="AI1271" s="55"/>
      <c r="AJ1271" s="114">
        <f>AJ1257*-1</f>
        <v>-1050000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624" t="s">
        <v>240</v>
      </c>
      <c r="F1272" s="625"/>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119584384.40000001</v>
      </c>
      <c r="AE1272" s="116"/>
      <c r="AF1272" s="117"/>
      <c r="AG1272" s="118">
        <f>SUM(AG1269:AG1271)</f>
        <v>146656194.80000001</v>
      </c>
      <c r="AH1272" s="116"/>
      <c r="AI1272" s="117"/>
      <c r="AJ1272" s="118">
        <f>SUM(AJ1269:AJ1271)</f>
        <v>20605863.600000024</v>
      </c>
      <c r="AK1272" s="116"/>
      <c r="AL1272" s="117"/>
      <c r="AM1272" s="118">
        <f>SUM(AM1269:AM1271)</f>
        <v>-1008554.5999999791</v>
      </c>
      <c r="AN1272" s="116"/>
      <c r="AO1272" s="117"/>
      <c r="AP1272" s="118">
        <f>SUM(AP1269:AP1271)</f>
        <v>-3132058.7999999784</v>
      </c>
      <c r="AQ1272" s="116"/>
      <c r="AR1272" s="117"/>
      <c r="AS1272" s="118">
        <f>SUM(AS1269:AS1271)</f>
        <v>5184590.0000000224</v>
      </c>
      <c r="AT1272" s="140">
        <f>SUM(AT1269:AT1270)</f>
        <v>-35830362.200000003</v>
      </c>
      <c r="AU1272" s="90" t="s">
        <v>144</v>
      </c>
    </row>
    <row r="1273" spans="1:55">
      <c r="AZ1273" s="145" t="s">
        <v>145</v>
      </c>
      <c r="BA1273" s="145" t="s">
        <v>558</v>
      </c>
      <c r="BC1273" t="s">
        <v>559</v>
      </c>
    </row>
    <row r="1274" spans="1:55" s="1" customFormat="1" ht="30.75">
      <c r="G1274" s="1" t="s">
        <v>145</v>
      </c>
      <c r="H1274" s="1" t="s">
        <v>146</v>
      </c>
      <c r="J1274" s="1" t="s">
        <v>145</v>
      </c>
      <c r="K1274" s="1" t="s">
        <v>146</v>
      </c>
      <c r="M1274" s="1" t="s">
        <v>145</v>
      </c>
      <c r="N1274" s="1" t="s">
        <v>146</v>
      </c>
      <c r="P1274" s="1" t="s">
        <v>145</v>
      </c>
      <c r="Q1274" s="1" t="s">
        <v>146</v>
      </c>
      <c r="S1274" s="1" t="s">
        <v>145</v>
      </c>
      <c r="T1274" s="1" t="s">
        <v>146</v>
      </c>
      <c r="V1274" s="1" t="s">
        <v>145</v>
      </c>
      <c r="W1274" s="1" t="s">
        <v>146</v>
      </c>
      <c r="Y1274" s="1" t="s">
        <v>145</v>
      </c>
      <c r="Z1274" s="1" t="s">
        <v>146</v>
      </c>
      <c r="AB1274" s="1" t="s">
        <v>145</v>
      </c>
      <c r="AC1274" s="1" t="s">
        <v>146</v>
      </c>
      <c r="AE1274" s="1" t="s">
        <v>145</v>
      </c>
      <c r="AF1274" s="1" t="s">
        <v>148</v>
      </c>
      <c r="AH1274" s="1" t="s">
        <v>145</v>
      </c>
      <c r="AI1274" s="1" t="s">
        <v>148</v>
      </c>
      <c r="AK1274" s="1" t="s">
        <v>145</v>
      </c>
      <c r="AL1274" s="1" t="s">
        <v>148</v>
      </c>
      <c r="AN1274" s="1" t="s">
        <v>145</v>
      </c>
      <c r="AO1274" s="1" t="s">
        <v>148</v>
      </c>
      <c r="AQ1274" s="1" t="s">
        <v>145</v>
      </c>
      <c r="AR1274" s="1" t="s">
        <v>148</v>
      </c>
      <c r="AZ1274" s="228" t="s">
        <v>204</v>
      </c>
      <c r="BA1274" s="228">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204</v>
      </c>
      <c r="H1275" s="197">
        <v>5756516</v>
      </c>
      <c r="J1275" s="1" t="s">
        <v>204</v>
      </c>
      <c r="K1275" s="197">
        <v>6108160</v>
      </c>
      <c r="M1275" s="1" t="s">
        <v>204</v>
      </c>
      <c r="N1275" s="197">
        <v>4509411</v>
      </c>
      <c r="P1275" s="1" t="s">
        <v>204</v>
      </c>
      <c r="Q1275" s="197">
        <v>5009193</v>
      </c>
      <c r="S1275" s="1" t="s">
        <v>204</v>
      </c>
      <c r="T1275" s="197">
        <v>3529300</v>
      </c>
      <c r="V1275" s="1" t="s">
        <v>204</v>
      </c>
      <c r="W1275" s="197">
        <v>2855200</v>
      </c>
      <c r="Y1275" s="1" t="s">
        <v>204</v>
      </c>
      <c r="Z1275" s="197">
        <v>10360000</v>
      </c>
      <c r="AB1275" s="1" t="s">
        <v>204</v>
      </c>
      <c r="AC1275" s="197">
        <v>60861773</v>
      </c>
      <c r="AE1275" s="1" t="s">
        <v>204</v>
      </c>
      <c r="AF1275" s="197">
        <v>51171315</v>
      </c>
      <c r="AH1275" s="1" t="s">
        <v>204</v>
      </c>
      <c r="AI1275" s="197">
        <v>21641520</v>
      </c>
      <c r="AK1275" s="1" t="s">
        <v>204</v>
      </c>
      <c r="AL1275" s="197">
        <v>20749600</v>
      </c>
      <c r="AN1275" s="1" t="s">
        <v>204</v>
      </c>
      <c r="AO1275" s="197">
        <v>350000</v>
      </c>
      <c r="AQ1275" s="1" t="s">
        <v>204</v>
      </c>
      <c r="AR1275" s="197">
        <v>350000</v>
      </c>
      <c r="AZ1275" s="145" t="s">
        <v>208</v>
      </c>
      <c r="BA1275" s="145">
        <v>28621</v>
      </c>
    </row>
    <row r="1276" spans="1:55">
      <c r="G1276" s="1" t="s">
        <v>245</v>
      </c>
      <c r="H1276" s="197">
        <v>6295977</v>
      </c>
      <c r="J1276" s="1" t="s">
        <v>245</v>
      </c>
      <c r="K1276" s="197">
        <v>370715</v>
      </c>
      <c r="M1276" s="1" t="s">
        <v>245</v>
      </c>
      <c r="N1276" s="197">
        <v>15566542</v>
      </c>
      <c r="P1276" s="1" t="s">
        <v>245</v>
      </c>
      <c r="Q1276" s="197">
        <v>1546000</v>
      </c>
      <c r="S1276" s="1" t="s">
        <v>245</v>
      </c>
      <c r="T1276" s="197">
        <v>1035400</v>
      </c>
      <c r="V1276" s="1" t="s">
        <v>245</v>
      </c>
      <c r="W1276" s="197">
        <v>0</v>
      </c>
      <c r="Y1276" s="1" t="s">
        <v>245</v>
      </c>
      <c r="Z1276" s="197">
        <v>780000</v>
      </c>
      <c r="AB1276" s="1" t="s">
        <v>245</v>
      </c>
      <c r="AC1276" s="197">
        <v>10968000</v>
      </c>
      <c r="AE1276" s="1" t="s">
        <v>245</v>
      </c>
      <c r="AF1276" s="197">
        <v>53246000</v>
      </c>
      <c r="AH1276" s="1" t="s">
        <v>245</v>
      </c>
      <c r="AI1276" s="197">
        <v>2328000</v>
      </c>
      <c r="AK1276" s="1" t="s">
        <v>245</v>
      </c>
      <c r="AL1276" s="197">
        <v>7736000</v>
      </c>
      <c r="AN1276" s="1" t="s">
        <v>245</v>
      </c>
      <c r="AO1276" s="197"/>
      <c r="AQ1276" s="1" t="s">
        <v>245</v>
      </c>
      <c r="AR1276" s="197"/>
      <c r="AZ1276" s="145" t="s">
        <v>246</v>
      </c>
      <c r="BA1276" s="145">
        <v>9638</v>
      </c>
    </row>
    <row r="1277" spans="1:55">
      <c r="G1277" s="1" t="s">
        <v>208</v>
      </c>
      <c r="H1277" s="197">
        <v>0</v>
      </c>
      <c r="J1277" s="1" t="s">
        <v>208</v>
      </c>
      <c r="K1277" s="197">
        <v>0</v>
      </c>
      <c r="M1277" s="1" t="s">
        <v>208</v>
      </c>
      <c r="N1277" s="197">
        <v>1232000</v>
      </c>
      <c r="P1277" s="1" t="s">
        <v>208</v>
      </c>
      <c r="Q1277" s="197">
        <v>107819</v>
      </c>
      <c r="S1277" s="1" t="s">
        <v>208</v>
      </c>
      <c r="T1277" s="197">
        <v>0</v>
      </c>
      <c r="V1277" s="1" t="s">
        <v>208</v>
      </c>
      <c r="W1277" s="197">
        <v>4095764</v>
      </c>
      <c r="Y1277" s="1" t="s">
        <v>208</v>
      </c>
      <c r="Z1277" s="197">
        <v>0</v>
      </c>
      <c r="AB1277" s="1" t="s">
        <v>208</v>
      </c>
      <c r="AC1277" s="197">
        <v>3322000</v>
      </c>
      <c r="AE1277" s="1" t="s">
        <v>208</v>
      </c>
      <c r="AF1277" s="197">
        <v>3143008</v>
      </c>
      <c r="AH1277" s="1" t="s">
        <v>208</v>
      </c>
      <c r="AI1277" s="197">
        <v>4146000</v>
      </c>
      <c r="AK1277" s="1" t="s">
        <v>208</v>
      </c>
      <c r="AL1277" s="197">
        <v>616000</v>
      </c>
      <c r="AN1277" s="1" t="s">
        <v>208</v>
      </c>
      <c r="AO1277" s="197">
        <v>1408000</v>
      </c>
      <c r="AQ1277" s="1" t="s">
        <v>208</v>
      </c>
      <c r="AR1277" s="197">
        <v>5936000</v>
      </c>
      <c r="AZ1277" s="145" t="s">
        <v>247</v>
      </c>
      <c r="BA1277" s="145">
        <v>69431</v>
      </c>
      <c r="BC1277" s="171"/>
    </row>
    <row r="1278" spans="1:55">
      <c r="G1278" s="1" t="s">
        <v>246</v>
      </c>
      <c r="H1278" s="197">
        <v>30000</v>
      </c>
      <c r="J1278" s="1" t="s">
        <v>246</v>
      </c>
      <c r="K1278" s="197">
        <v>0</v>
      </c>
      <c r="M1278" s="1" t="s">
        <v>246</v>
      </c>
      <c r="N1278" s="197">
        <v>234382</v>
      </c>
      <c r="P1278" s="1" t="s">
        <v>246</v>
      </c>
      <c r="Q1278" s="197">
        <v>0</v>
      </c>
      <c r="S1278" s="1" t="s">
        <v>246</v>
      </c>
      <c r="T1278" s="197">
        <v>0</v>
      </c>
      <c r="V1278" s="1" t="s">
        <v>246</v>
      </c>
      <c r="W1278" s="197">
        <v>0</v>
      </c>
      <c r="Y1278" s="1" t="s">
        <v>246</v>
      </c>
      <c r="Z1278" s="197">
        <v>0</v>
      </c>
      <c r="AB1278" s="1" t="s">
        <v>246</v>
      </c>
      <c r="AC1278" s="197"/>
      <c r="AE1278" s="1" t="s">
        <v>246</v>
      </c>
      <c r="AF1278" s="197"/>
      <c r="AH1278" s="1" t="s">
        <v>246</v>
      </c>
      <c r="AI1278" s="197"/>
      <c r="AK1278" s="1" t="s">
        <v>246</v>
      </c>
      <c r="AL1278" s="197"/>
      <c r="AN1278" s="1" t="s">
        <v>246</v>
      </c>
      <c r="AO1278" s="197"/>
      <c r="AQ1278" s="1" t="s">
        <v>246</v>
      </c>
      <c r="AR1278" s="197"/>
      <c r="AZ1278" s="145" t="s">
        <v>248</v>
      </c>
      <c r="BA1278" s="145">
        <v>83836</v>
      </c>
      <c r="BC1278" s="171"/>
    </row>
    <row r="1279" spans="1:55">
      <c r="G1279" s="1" t="s">
        <v>247</v>
      </c>
      <c r="H1279" s="197">
        <v>2565000</v>
      </c>
      <c r="J1279" s="1" t="s">
        <v>247</v>
      </c>
      <c r="K1279" s="197">
        <v>2153937</v>
      </c>
      <c r="M1279" s="1" t="s">
        <v>247</v>
      </c>
      <c r="N1279" s="197">
        <v>300000</v>
      </c>
      <c r="P1279" s="1" t="s">
        <v>247</v>
      </c>
      <c r="Q1279" s="197">
        <v>2006991</v>
      </c>
      <c r="S1279" s="1" t="s">
        <v>247</v>
      </c>
      <c r="T1279" s="197">
        <v>767750</v>
      </c>
      <c r="V1279" s="1" t="s">
        <v>247</v>
      </c>
      <c r="W1279" s="197">
        <v>4105500</v>
      </c>
      <c r="Y1279" s="1" t="s">
        <v>247</v>
      </c>
      <c r="Z1279" s="197">
        <v>4059000</v>
      </c>
      <c r="AB1279" s="1" t="s">
        <v>247</v>
      </c>
      <c r="AC1279" s="197">
        <v>1027565</v>
      </c>
      <c r="AE1279" s="1" t="s">
        <v>247</v>
      </c>
      <c r="AF1279" s="197">
        <v>16675444</v>
      </c>
      <c r="AH1279" s="1" t="s">
        <v>247</v>
      </c>
      <c r="AI1279" s="197">
        <v>2883668</v>
      </c>
      <c r="AK1279" s="1" t="s">
        <v>247</v>
      </c>
      <c r="AL1279" s="197">
        <v>2142125</v>
      </c>
      <c r="AN1279" s="1" t="s">
        <v>247</v>
      </c>
      <c r="AO1279" s="197">
        <v>2388889</v>
      </c>
      <c r="AQ1279" s="1" t="s">
        <v>247</v>
      </c>
      <c r="AR1279" s="197"/>
      <c r="AZ1279" s="145" t="s">
        <v>560</v>
      </c>
      <c r="BA1279" s="145">
        <v>4552</v>
      </c>
    </row>
    <row r="1280" spans="1:55">
      <c r="G1280" s="1" t="s">
        <v>259</v>
      </c>
      <c r="H1280" s="197">
        <v>0</v>
      </c>
      <c r="J1280" s="1" t="s">
        <v>259</v>
      </c>
      <c r="K1280" s="197">
        <v>0</v>
      </c>
      <c r="M1280" s="1" t="s">
        <v>259</v>
      </c>
      <c r="N1280" s="197">
        <v>0</v>
      </c>
      <c r="P1280" s="1" t="s">
        <v>259</v>
      </c>
      <c r="Q1280" s="197">
        <v>0</v>
      </c>
      <c r="S1280" s="1" t="s">
        <v>259</v>
      </c>
      <c r="T1280" s="197">
        <v>883606</v>
      </c>
      <c r="V1280" s="1" t="s">
        <v>259</v>
      </c>
      <c r="W1280" s="197">
        <v>0</v>
      </c>
      <c r="Y1280" s="1" t="s">
        <v>259</v>
      </c>
      <c r="Z1280" s="197">
        <v>0</v>
      </c>
      <c r="AB1280" s="1" t="s">
        <v>259</v>
      </c>
      <c r="AC1280" s="197"/>
      <c r="AE1280" s="1" t="s">
        <v>259</v>
      </c>
      <c r="AF1280" s="197"/>
      <c r="AH1280" s="1" t="s">
        <v>259</v>
      </c>
      <c r="AI1280" s="197"/>
      <c r="AK1280" s="1" t="s">
        <v>259</v>
      </c>
      <c r="AL1280" s="197"/>
      <c r="AN1280" s="1" t="s">
        <v>259</v>
      </c>
      <c r="AO1280" s="197"/>
      <c r="AQ1280" s="1" t="s">
        <v>259</v>
      </c>
      <c r="AR1280" s="197"/>
      <c r="AZ1280" s="145" t="s">
        <v>561</v>
      </c>
      <c r="BA1280" s="145">
        <v>18424</v>
      </c>
    </row>
    <row r="1281" spans="7:63">
      <c r="G1281" s="1" t="s">
        <v>88</v>
      </c>
      <c r="H1281" s="197">
        <v>354000</v>
      </c>
      <c r="J1281" s="1" t="s">
        <v>88</v>
      </c>
      <c r="K1281" s="197">
        <v>250000</v>
      </c>
      <c r="M1281" s="1" t="s">
        <v>88</v>
      </c>
      <c r="N1281" s="197">
        <v>0</v>
      </c>
      <c r="P1281" s="1" t="s">
        <v>88</v>
      </c>
      <c r="Q1281" s="197">
        <v>750000</v>
      </c>
      <c r="S1281" s="1" t="s">
        <v>88</v>
      </c>
      <c r="T1281" s="197">
        <v>0</v>
      </c>
      <c r="V1281" s="1" t="s">
        <v>88</v>
      </c>
      <c r="W1281" s="197">
        <v>0</v>
      </c>
      <c r="Y1281" s="1" t="s">
        <v>88</v>
      </c>
      <c r="Z1281" s="197">
        <v>0</v>
      </c>
      <c r="AB1281" s="1" t="s">
        <v>88</v>
      </c>
      <c r="AC1281" s="197"/>
      <c r="AE1281" s="1" t="s">
        <v>88</v>
      </c>
      <c r="AF1281" s="197"/>
      <c r="AH1281" s="1" t="s">
        <v>88</v>
      </c>
      <c r="AI1281" s="197"/>
      <c r="AK1281" s="1" t="s">
        <v>88</v>
      </c>
      <c r="AL1281" s="197"/>
      <c r="AN1281" s="1" t="s">
        <v>88</v>
      </c>
      <c r="AO1281" s="197"/>
      <c r="AQ1281" s="1" t="s">
        <v>88</v>
      </c>
      <c r="AR1281" s="197"/>
      <c r="AZ1281" s="145" t="s">
        <v>562</v>
      </c>
      <c r="BA1281" s="145">
        <v>15482</v>
      </c>
    </row>
    <row r="1282" spans="7:63">
      <c r="G1282" s="1" t="s">
        <v>249</v>
      </c>
      <c r="H1282" s="197">
        <v>0</v>
      </c>
      <c r="J1282" s="1" t="s">
        <v>249</v>
      </c>
      <c r="K1282" s="197">
        <v>0</v>
      </c>
      <c r="M1282" s="1" t="s">
        <v>249</v>
      </c>
      <c r="N1282" s="197">
        <v>0</v>
      </c>
      <c r="P1282" s="1" t="s">
        <v>249</v>
      </c>
      <c r="Q1282" s="197">
        <v>0</v>
      </c>
      <c r="S1282" s="1" t="s">
        <v>249</v>
      </c>
      <c r="T1282" s="197">
        <v>0</v>
      </c>
      <c r="V1282" s="1" t="s">
        <v>249</v>
      </c>
      <c r="W1282" s="197">
        <v>271695</v>
      </c>
      <c r="Y1282" s="1" t="s">
        <v>249</v>
      </c>
      <c r="Z1282" s="197">
        <v>61138</v>
      </c>
      <c r="AB1282" s="1" t="s">
        <v>249</v>
      </c>
      <c r="AC1282" s="197">
        <v>5414488</v>
      </c>
      <c r="AE1282" s="1" t="s">
        <v>249</v>
      </c>
      <c r="AF1282" s="197">
        <v>759568</v>
      </c>
      <c r="AH1282" s="1" t="s">
        <v>249</v>
      </c>
      <c r="AI1282" s="197">
        <v>4065280</v>
      </c>
      <c r="AK1282" s="1" t="s">
        <v>249</v>
      </c>
      <c r="AL1282" s="197"/>
      <c r="AN1282" s="1" t="s">
        <v>249</v>
      </c>
      <c r="AO1282" s="197"/>
      <c r="AQ1282" s="1" t="s">
        <v>249</v>
      </c>
      <c r="AR1282" s="197"/>
      <c r="AZ1282" s="145" t="s">
        <v>563</v>
      </c>
      <c r="BA1282" s="145">
        <v>773399</v>
      </c>
      <c r="BB1282">
        <f>BA1282/BA1283</f>
        <v>0.83460383784448766</v>
      </c>
    </row>
    <row r="1283" spans="7:63">
      <c r="G1283" s="1" t="s">
        <v>80</v>
      </c>
      <c r="H1283" s="197">
        <v>1010000</v>
      </c>
      <c r="J1283" s="1" t="s">
        <v>80</v>
      </c>
      <c r="K1283" s="197">
        <v>1060500</v>
      </c>
      <c r="M1283" s="1" t="s">
        <v>80</v>
      </c>
      <c r="N1283" s="197">
        <v>1092315</v>
      </c>
      <c r="P1283" s="1" t="s">
        <v>80</v>
      </c>
      <c r="Q1283" s="197">
        <v>1113532</v>
      </c>
      <c r="S1283" s="1" t="s">
        <v>80</v>
      </c>
      <c r="T1283" s="197">
        <v>1146938</v>
      </c>
      <c r="V1283" s="1" t="s">
        <v>80</v>
      </c>
      <c r="W1283" s="197">
        <v>1181346</v>
      </c>
      <c r="Y1283" s="1" t="s">
        <v>80</v>
      </c>
      <c r="Z1283" s="197">
        <v>1181346</v>
      </c>
      <c r="AB1283" s="1" t="s">
        <v>80</v>
      </c>
      <c r="AC1283" s="197">
        <v>1204973</v>
      </c>
      <c r="AE1283" s="1" t="s">
        <v>80</v>
      </c>
      <c r="AF1283" s="197">
        <v>977000</v>
      </c>
      <c r="AH1283" s="1" t="s">
        <v>80</v>
      </c>
      <c r="AI1283" s="197">
        <v>996540</v>
      </c>
      <c r="AK1283" s="1" t="s">
        <v>80</v>
      </c>
      <c r="AL1283" s="197">
        <v>1016470</v>
      </c>
      <c r="AN1283" s="1" t="s">
        <v>80</v>
      </c>
      <c r="AO1283" s="197">
        <v>1036800</v>
      </c>
      <c r="AQ1283" s="1" t="s">
        <v>80</v>
      </c>
      <c r="AR1283" s="197">
        <v>1057536</v>
      </c>
      <c r="AZ1283" t="s">
        <v>181</v>
      </c>
      <c r="BA1283">
        <f>SUM(BA1278,BA1282,BA1277)</f>
        <v>926666</v>
      </c>
    </row>
    <row r="1285" spans="7:63" ht="51.75" customHeight="1">
      <c r="G1285" s="226" t="s">
        <v>145</v>
      </c>
      <c r="H1285" s="226" t="s">
        <v>140</v>
      </c>
      <c r="I1285" s="227" t="s">
        <v>142</v>
      </c>
      <c r="J1285" s="226" t="s">
        <v>145</v>
      </c>
      <c r="K1285" s="226" t="s">
        <v>140</v>
      </c>
      <c r="L1285" s="227" t="s">
        <v>142</v>
      </c>
      <c r="M1285" s="226" t="s">
        <v>145</v>
      </c>
      <c r="N1285" s="226" t="s">
        <v>140</v>
      </c>
      <c r="O1285" s="227" t="s">
        <v>142</v>
      </c>
      <c r="P1285" s="226" t="s">
        <v>145</v>
      </c>
      <c r="Q1285" s="226" t="s">
        <v>140</v>
      </c>
      <c r="R1285" s="227" t="s">
        <v>142</v>
      </c>
      <c r="S1285" s="226" t="s">
        <v>145</v>
      </c>
      <c r="T1285" s="226" t="s">
        <v>140</v>
      </c>
      <c r="U1285" s="227" t="s">
        <v>142</v>
      </c>
      <c r="V1285" s="226" t="s">
        <v>145</v>
      </c>
      <c r="W1285" s="226" t="s">
        <v>140</v>
      </c>
      <c r="X1285" s="227" t="s">
        <v>142</v>
      </c>
      <c r="Y1285" s="226" t="s">
        <v>145</v>
      </c>
      <c r="Z1285" s="226" t="s">
        <v>140</v>
      </c>
      <c r="AA1285" s="227" t="s">
        <v>142</v>
      </c>
      <c r="AB1285" s="226" t="s">
        <v>145</v>
      </c>
      <c r="AC1285" s="226" t="s">
        <v>140</v>
      </c>
      <c r="AD1285" s="227" t="s">
        <v>142</v>
      </c>
      <c r="AE1285" s="226" t="s">
        <v>145</v>
      </c>
      <c r="AF1285" s="226" t="s">
        <v>157</v>
      </c>
      <c r="AG1285" s="227" t="s">
        <v>158</v>
      </c>
      <c r="AH1285" s="226" t="s">
        <v>145</v>
      </c>
      <c r="AI1285" s="226" t="s">
        <v>157</v>
      </c>
      <c r="AJ1285" s="227" t="s">
        <v>158</v>
      </c>
      <c r="AK1285" s="226" t="s">
        <v>145</v>
      </c>
      <c r="AL1285" s="226" t="s">
        <v>157</v>
      </c>
      <c r="AM1285" s="227" t="s">
        <v>158</v>
      </c>
      <c r="AN1285" s="226" t="s">
        <v>145</v>
      </c>
      <c r="AO1285" s="226" t="s">
        <v>157</v>
      </c>
      <c r="AP1285" s="227" t="s">
        <v>158</v>
      </c>
      <c r="AQ1285" s="226" t="s">
        <v>145</v>
      </c>
      <c r="AR1285" s="226" t="s">
        <v>157</v>
      </c>
      <c r="AS1285" s="227" t="s">
        <v>158</v>
      </c>
      <c r="AU1285" s="242" t="s">
        <v>145</v>
      </c>
      <c r="AV1285" s="242" t="s">
        <v>564</v>
      </c>
      <c r="AW1285" s="243" t="s">
        <v>565</v>
      </c>
      <c r="AX1285" s="228" t="s">
        <v>566</v>
      </c>
      <c r="AZ1285" s="145" t="s">
        <v>145</v>
      </c>
      <c r="BA1285" s="228" t="s">
        <v>567</v>
      </c>
      <c r="BB1285" s="243" t="s">
        <v>162</v>
      </c>
      <c r="BC1285" s="228" t="s">
        <v>568</v>
      </c>
      <c r="BE1285" s="815" t="s">
        <v>164</v>
      </c>
      <c r="BF1285" s="276" t="s">
        <v>569</v>
      </c>
      <c r="BG1285" s="228" t="s">
        <v>570</v>
      </c>
      <c r="BH1285" s="228" t="s">
        <v>571</v>
      </c>
      <c r="BI1285" s="228" t="s">
        <v>572</v>
      </c>
    </row>
    <row r="1286" spans="7:63">
      <c r="G1286" s="228" t="s">
        <v>204</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8" t="s">
        <v>204</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8" t="s">
        <v>204</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8" t="s">
        <v>204</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8" t="s">
        <v>204</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8" t="s">
        <v>204</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8" t="s">
        <v>204</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8" t="s">
        <v>204</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8" t="s">
        <v>204</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3244800</v>
      </c>
      <c r="AG1286" s="232">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8" t="s">
        <v>204</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2">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8" t="s">
        <v>204</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2">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8" t="s">
        <v>204</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2">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8" t="s">
        <v>204</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2">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3" t="s">
        <v>204</v>
      </c>
      <c r="AV1286" s="174">
        <f>SUM(AL1286,AI1286,AF1286,AC1286,Z1286,W1286,T1286,Q1286,N1286,K1286,H1286,AO1286,AR1286)</f>
        <v>157826314</v>
      </c>
      <c r="AW1286" s="268">
        <f>(AV1286/$AV$1297)</f>
        <v>0.45119891336940066</v>
      </c>
      <c r="AX1286" s="282">
        <f>AV1286/BA1274</f>
        <v>252.74694608323566</v>
      </c>
      <c r="AZ1286" s="145" t="s">
        <v>204</v>
      </c>
      <c r="BA1286" s="144">
        <f>AV1286+'KY - TA'!AV264+'KY - CRP'!AB144</f>
        <v>188704857</v>
      </c>
      <c r="BB1286" s="268">
        <f>BA1286/$BA$1298</f>
        <v>0.49067363673986419</v>
      </c>
      <c r="BC1286" s="178">
        <f>BA1286/BA1274</f>
        <v>302.19660530007496</v>
      </c>
      <c r="BE1286" s="271" t="s">
        <v>573</v>
      </c>
      <c r="BF1286" s="281">
        <v>12</v>
      </c>
      <c r="BG1286" s="231">
        <f>BF1286/$BF$1289</f>
        <v>0.70588235294117652</v>
      </c>
      <c r="BH1286" s="280">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74762142</v>
      </c>
      <c r="BI1286" s="252">
        <f>BH1286/$BH$1289</f>
        <v>0.88778665003305834</v>
      </c>
    </row>
    <row r="1287" spans="7:63">
      <c r="G1287" s="228" t="s">
        <v>245</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8" t="s">
        <v>245</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8" t="s">
        <v>245</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8" t="s">
        <v>245</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8" t="s">
        <v>245</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8" t="s">
        <v>245</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8" t="s">
        <v>245</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8" t="s">
        <v>245</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8" t="s">
        <v>245</v>
      </c>
      <c r="AF1287" s="144">
        <f>SUM(AE1245:AE1256,AE1231:AE1242,AE991:AE999,AE885:AE893,AE874:AE882,AE860:AE871,AE681:AE689,AE659:AE667,AE637:AE645,AE626:AE634,AE615:AE623,AE199:AE207,AE185:AE196,AE174:AE182,AE163:AE171,AE141:AE149,AE130:AE138,AE119:AE127,AE108:AE116,AE97:AE105)</f>
        <v>4294000</v>
      </c>
      <c r="AG1287" s="232">
        <f>SUM(AG991:AG999,AG885:AG893,AG874:AG882,AG860:AG871,AG681:AG689,AG659:AG667,AG637:AG645,AG626:AG634,AG615:AG623,AG199:AG207,AG185:AG196,AG174:AG182,AG163:AG171,AG141:AG149,AG130:AG138,AG119:AG127,AG108:AG116,AG97:AG105)</f>
        <v>4294000</v>
      </c>
      <c r="AH1287" s="228" t="s">
        <v>245</v>
      </c>
      <c r="AI1287" s="144">
        <f>SUM(AH1245:AH1256,AH1231:AH1242,AH991:AH999,AH885:AH893,AH874:AH882,AH860:AH871,AH681:AH689,AH659:AH667,AH637:AH645,AH626:AH634,AH615:AH623,AH199:AH207,AH185:AH196,AH174:AH182,AH163:AH171,AH141:AH149,AH130:AH138,AH119:AH127,AH108:AH116,AH97:AH105)</f>
        <v>39114000</v>
      </c>
      <c r="AJ1287" s="232">
        <f>SUM(AJ991:AJ999,AJ885:AJ893,AJ874:AJ882,AJ860:AJ871,AJ681:AJ689,AJ659:AJ667,AJ637:AJ645,AJ626:AJ634,AJ615:AJ623,AJ199:AJ207,AJ185:AJ196,AJ174:AJ182,AJ163:AJ171,AJ141:AJ149,AJ130:AJ138,AJ119:AJ127,AJ108:AJ116,AJ97:AJ105)</f>
        <v>1000000</v>
      </c>
      <c r="AK1287" s="228" t="s">
        <v>245</v>
      </c>
      <c r="AL1287" s="144">
        <f>SUM(AK1245:AK1256,AK1231:AK1242,AK991:AK999,AK885:AK893,AK874:AK882,AK860:AK871,AK681:AK689,AK659:AK667,AK637:AK645,AK626:AK634,AK615:AK623,AK199:AK207,AK185:AK196,AK174:AK182,AK163:AK171,AK141:AK149,AK130:AK138,AK119:AK127,AK108:AK116,AK97:AK105)</f>
        <v>7736000</v>
      </c>
      <c r="AM1287" s="232">
        <f>SUM(AM991:AM999,AM885:AM893,AM874:AM882,AM860:AM871,AM681:AM689,AM659:AM667,AM637:AM645,AM626:AM634,AM615:AM623,AM199:AM207,AM185:AM196,AM174:AM182,AM163:AM171,AM141:AM149,AM130:AM138,AM119:AM127,AM108:AM116,AM97:AM105)</f>
        <v>0</v>
      </c>
      <c r="AN1287" s="228" t="s">
        <v>245</v>
      </c>
      <c r="AO1287" s="144">
        <f>SUM(AN1245:AN1256,AN1231:AN1242,AN991:AN999,AN885:AN893,AN874:AN882,AN860:AN871,AN681:AN689,AN659:AN667,AN637:AN645,AN626:AN634,AN615:AN623,AN199:AN207,AN185:AN196,AN174:AN182,AN163:AN171,AN141:AN149,AN130:AN138,AN119:AN127,AN108:AN116,AN97:AN105)</f>
        <v>15800000</v>
      </c>
      <c r="AP1287" s="232">
        <f>SUM(AP991:AP999,AP885:AP893,AP874:AP882,AP860:AP871,AP681:AP689,AP659:AP667,AP637:AP645,AP626:AP634,AP615:AP623,AP199:AP207,AP185:AP196,AP174:AP182,AP163:AP171,AP141:AP149,AP130:AP138,AP119:AP127,AP108:AP116,AP97:AP105)</f>
        <v>0</v>
      </c>
      <c r="AQ1287" s="228" t="s">
        <v>245</v>
      </c>
      <c r="AR1287" s="144">
        <f>SUM(AQ1245:AQ1256,AQ1231:AQ1242,AQ991:AQ999,AQ885:AQ893,AQ874:AQ882,AQ860:AQ871,AQ681:AQ689,AQ659:AQ667,AQ637:AQ645,AQ626:AQ634,AQ615:AQ623,AQ199:AQ207,AQ185:AQ196,AQ174:AQ182,AQ163:AQ171,AQ141:AQ149,AQ130:AQ138,AQ119:AQ127,AQ108:AQ116,AQ97:AQ105)</f>
        <v>0</v>
      </c>
      <c r="AS1287" s="232">
        <f>SUM(AS991:AS999,AS885:AS893,AS874:AS882,AS860:AS871,AS681:AS689,AS659:AS667,AS637:AS645,AS626:AS634,AS615:AS623,AS199:AS207,AS185:AS196,AS174:AS182,AS163:AS171,AS141:AS149,AS130:AS138,AS119:AS127,AS108:AS116,AS97:AS105)</f>
        <v>0</v>
      </c>
      <c r="AU1287" s="243" t="s">
        <v>245</v>
      </c>
      <c r="AV1287" s="174">
        <f t="shared" ref="AV1287:AV1294" si="1522">SUM(AL1287,AI1287,AF1287,AC1287,Z1287,W1287,T1287,Q1287,N1287,K1287,H1287,AO1287,AR1287)</f>
        <v>94121834</v>
      </c>
      <c r="AW1287" s="268">
        <f>(AV1287/$AV$1297)</f>
        <v>0.26907850882923812</v>
      </c>
      <c r="AX1287" s="283"/>
      <c r="AZ1287" s="145" t="s">
        <v>245</v>
      </c>
      <c r="BA1287" s="144">
        <f>AV1287+'KY - TA'!AV265+'KY - CRP'!AB145</f>
        <v>94121834</v>
      </c>
      <c r="BB1287" s="268">
        <f t="shared" ref="BB1287:BB1297" si="1523">BA1287/$BA$1298</f>
        <v>0.2447372225581125</v>
      </c>
      <c r="BC1287" s="145"/>
      <c r="BE1287" s="145" t="s">
        <v>574</v>
      </c>
      <c r="BF1287" s="281">
        <v>3</v>
      </c>
      <c r="BG1287" s="231">
        <f t="shared" ref="BG1287:BG1288" si="1524">BF1287/$BF$1289</f>
        <v>0.17647058823529413</v>
      </c>
      <c r="BH1287" s="280">
        <f>SUM(G108:G116,J108:J116,M108:M116,P108:P116,S108:S116,V108:V116,Y108:Y116,AB108:AB116,AE108:AE116,AH108:AH116,AK108:AK116,AU200,AU886)</f>
        <v>9045692</v>
      </c>
      <c r="BI1287" s="252">
        <f t="shared" ref="BI1287:BI1288" si="1525">BH1287/$BH$1289</f>
        <v>0.10741592446496297</v>
      </c>
    </row>
    <row r="1288" spans="7:63">
      <c r="G1288" s="228" t="s">
        <v>208</v>
      </c>
      <c r="H1288" s="144">
        <f>SUM(G725:G733,G714:G722,G692:G700,G411:G422,G243:G254,G75:G83,G63:G72,G52:G60,G41:G49,G30:G38,G19:G27)</f>
        <v>0</v>
      </c>
      <c r="I1288" s="144">
        <f>SUM(I725:I733,I714:I722,I692:I700,I411:I422,I243:I254,I75:I83,I63:I72,I52:I60,I41:I49,I30:I38,I19:I27)</f>
        <v>0</v>
      </c>
      <c r="J1288" s="228" t="s">
        <v>208</v>
      </c>
      <c r="K1288" s="144">
        <f>SUM(J725:J733,J714:J722,J692:J700,J411:J422,J243:J254,J75:J83,J63:J72,J52:J60,J41:J49,J30:J38,J19:J27)</f>
        <v>0</v>
      </c>
      <c r="L1288" s="144">
        <f>SUM(L725:L733,L714:L722,L692:L700,L411:L422,L243:L254,L75:L83,L63:L72,L52:L60,L41:L49,L30:L38,L19:L27)</f>
        <v>0</v>
      </c>
      <c r="M1288" s="228" t="s">
        <v>208</v>
      </c>
      <c r="N1288" s="144">
        <f>SUM(M725:M733,M714:M722,M692:M700,M411:M422,M243:M254,M75:M83,M63:M72,M52:M60,M41:M49,M30:M38,M19:M27)</f>
        <v>1232000</v>
      </c>
      <c r="O1288" s="144">
        <f>SUM(O725:O733,O714:O722,O692:O700,O411:O422,O243:O254,O75:O83,O63:O72,O52:O60,O41:O49,O30:O38,O19:O27)</f>
        <v>1232000</v>
      </c>
      <c r="P1288" s="228" t="s">
        <v>208</v>
      </c>
      <c r="Q1288" s="144">
        <f>SUM(P725:P733,P714:P722,P692:P700,P411:P422,P243:P254,P75:P83,P63:P72,P52:P60,P41:P49,P30:P38,P19:P27)</f>
        <v>107819</v>
      </c>
      <c r="R1288" s="144">
        <f>SUM(R725:R733,R714:R722,R692:R700,R411:R422,R243:R254,R75:R83,R63:R72,R52:R60,R41:R49,R30:R38,R19:R27)</f>
        <v>107819</v>
      </c>
      <c r="S1288" s="228" t="s">
        <v>208</v>
      </c>
      <c r="T1288" s="144">
        <f>SUM(S725:S733,S714:S722,S692:S700,S411:S422,S243:S254,S75:S83,S63:S72,S52:S60,S41:S49,S30:S38,S19:S27)</f>
        <v>0</v>
      </c>
      <c r="U1288" s="144">
        <f>SUM(U725:U733,U714:U722,U692:U700,U411:U422,U243:U254,U75:U83,U63:U72,U52:U60,U41:U49,U30:U38,U19:U27)</f>
        <v>0</v>
      </c>
      <c r="V1288" s="228" t="s">
        <v>208</v>
      </c>
      <c r="W1288" s="144">
        <f>SUM(V725:V733,V714:V722,V692:V700,V411:V422,V243:V254,V75:V83,V63:V72,V52:V60,V41:V49,V30:V38,V19:V27)</f>
        <v>4095764</v>
      </c>
      <c r="X1288" s="144">
        <f>SUM(X725:X733,X714:X722,X692:X700,X411:X422,X243:X254,X75:X83,X63:X72,X52:X60,X41:X49,X30:X38,X19:X27)</f>
        <v>3682147</v>
      </c>
      <c r="Y1288" s="228" t="s">
        <v>208</v>
      </c>
      <c r="Z1288" s="144">
        <f>SUM(Y725:Y733,Y714:Y722,Y692:Y700,Y411:Y422,Y243:Y254,Y75:Y83,Y63:Y72,Y52:Y60,Y41:Y49,Y30:Y38,Y19:Y27)</f>
        <v>0</v>
      </c>
      <c r="AA1288" s="144">
        <f>SUM(AA725:AA733,AA714:AA722,AA692:AA700,AA411:AA422,AA243:AA254,AA75:AA83,AA63:AA72,AA52:AA60,AA41:AA49,AA30:AA38,AA19:AA27)</f>
        <v>0</v>
      </c>
      <c r="AB1288" s="228" t="s">
        <v>208</v>
      </c>
      <c r="AC1288" s="144">
        <f>SUM(AB725:AB733,AB714:AB722,AB692:AB700,AB411:AB422,AB243:AB254,AB75:AB83,AB63:AB72,AB52:AB60,AB41:AB49,AB30:AB38,AB19:AB27)</f>
        <v>0</v>
      </c>
      <c r="AD1288" s="144">
        <f>SUM(AD725:AD733,AD714:AD722,AD692:AD700,AD411:AD422,AD243:AD254,AD75:AD83,AD63:AD72,AD52:AD60,AD41:AD49,AD30:AD38,AD19:AD27)</f>
        <v>0</v>
      </c>
      <c r="AE1288" s="228" t="s">
        <v>208</v>
      </c>
      <c r="AF1288" s="144">
        <f>SUM(AE725:AE733,AE714:AE722,AE692:AE700,AE411:AE422,AE243:AE254,AE75:AE83,AE63:AE72,AE52:AE60,AE41:AE49,AE30:AE38,AE19:AE27)</f>
        <v>2130000</v>
      </c>
      <c r="AG1288" s="232">
        <f>SUM(AG725:AG733,AG714:AG722,AG692:AG700,AG411:AG422,AG243:AG254,AG75:AG83,AG63:AG72,AG52:AG60,AG41:AG49,AG30:AG38,AG19:AG27)</f>
        <v>2130000</v>
      </c>
      <c r="AH1288" s="228" t="s">
        <v>208</v>
      </c>
      <c r="AI1288" s="144">
        <f>SUM(AH725:AH733,AH714:AH722,AH692:AH700,AH411:AH422,AH243:AH254,AH75:AH83,AH63:AH72,AH52:AH60,AH41:AH49,AH30:AH38,AH19:AH27)</f>
        <v>3618000</v>
      </c>
      <c r="AJ1288" s="232">
        <f>SUM(AJ725:AJ733,AJ714:AJ722,AJ692:AJ700,AJ411:AJ422,AJ243:AJ254,AJ75:AJ83,AJ63:AJ72,AJ52:AJ60,AJ41:AJ49,AJ30:AJ38,AJ19:AJ27)</f>
        <v>0</v>
      </c>
      <c r="AK1288" s="228" t="s">
        <v>208</v>
      </c>
      <c r="AL1288" s="144">
        <f>SUM(AK725:AK733,AK714:AK722,AK692:AK700,AK411:AK422,AK243:AK254,AK75:AK83,AK63:AK72,AK52:AK60,AK41:AK49,AK30:AK38,AK19:AK27)</f>
        <v>1145008</v>
      </c>
      <c r="AM1288" s="232">
        <f>SUM(AM725:AM733,AM714:AM722,AM692:AM700,AM411:AM422,AM243:AM254,AM75:AM83,AM63:AM72,AM52:AM60,AM41:AM49,AM30:AM38,AM19:AM27)</f>
        <v>0</v>
      </c>
      <c r="AN1288" s="228" t="s">
        <v>208</v>
      </c>
      <c r="AO1288" s="144">
        <f>SUM(AN725:AN733,AN714:AN722,AN692:AN700,AN411:AN422,AN243:AN254,AN75:AN83,AN63:AN72,AN52:AN60,AN41:AN49,AN30:AN38,AN19:AN27)</f>
        <v>1408000</v>
      </c>
      <c r="AP1288" s="232">
        <f>SUM(AP725:AP733,AP714:AP722,AP692:AP700,AP411:AP422,AP243:AP254,AP75:AP83,AP63:AP72,AP52:AP60,AP41:AP49,AP30:AP38,AP19:AP27)</f>
        <v>0</v>
      </c>
      <c r="AQ1288" s="228" t="s">
        <v>208</v>
      </c>
      <c r="AR1288" s="144">
        <f>SUM(AQ725:AQ733,AQ714:AQ722,AQ692:AQ700,AQ411:AQ422,AQ243:AQ254,AQ75:AQ83,AQ63:AQ72,AQ52:AQ60,AQ41:AQ49,AQ30:AQ38,AQ19:AQ27)</f>
        <v>5936000</v>
      </c>
      <c r="AS1288" s="232">
        <f>SUM(AS725:AS733,AS714:AS722,AS692:AS700,AS411:AS422,AS243:AS254,AS75:AS83,AS63:AS72,AS52:AS60,AS41:AS49,AS30:AS38,AS19:AS27)</f>
        <v>0</v>
      </c>
      <c r="AU1288" s="243" t="s">
        <v>208</v>
      </c>
      <c r="AV1288" s="174">
        <f>SUM(AL1288,AI1288,AF1288,AC1288,Z1288,W1288,T1288,Q1288,N1288,K1288,H1288,AO1288,AR1288)</f>
        <v>19672591</v>
      </c>
      <c r="AW1288" s="268">
        <f>(AV1288/$AV$1297)</f>
        <v>5.6240632232978913E-2</v>
      </c>
      <c r="AX1288" s="283">
        <f>AV1288/BA1275</f>
        <v>687.34813598406765</v>
      </c>
      <c r="AZ1288" s="145" t="s">
        <v>208</v>
      </c>
      <c r="BA1288" s="144">
        <f>AV1288+'KY - TA'!AV266+'KY - CRP'!AB146</f>
        <v>21396863</v>
      </c>
      <c r="BB1288" s="268">
        <f t="shared" si="1523"/>
        <v>5.5636493675595429E-2</v>
      </c>
      <c r="BC1288" s="144">
        <f>BA1288/BA1275</f>
        <v>747.59313091785748</v>
      </c>
      <c r="BE1288" s="145" t="s">
        <v>575</v>
      </c>
      <c r="BF1288" s="281">
        <v>2</v>
      </c>
      <c r="BG1288" s="231">
        <f t="shared" si="1524"/>
        <v>0.11764705882352941</v>
      </c>
      <c r="BH1288" s="280">
        <f>SUM(G141:G149,J141:J149,M141:M149,P141:P149,S141:S149,V141:V149,Y141:Y149,AB141:AB149,AE141:AE149,AH141:AH149,AK141:AK149,AU875)</f>
        <v>404000</v>
      </c>
      <c r="BI1288" s="252">
        <f>BH1288/$BH$1289</f>
        <v>4.7974255019787365E-3</v>
      </c>
    </row>
    <row r="1289" spans="7:63">
      <c r="G1289" s="228" t="s">
        <v>246</v>
      </c>
      <c r="H1289" s="144">
        <f>SUM(G838:G846)</f>
        <v>30000</v>
      </c>
      <c r="I1289" s="144">
        <f>SUM(I838:I846)</f>
        <v>30000</v>
      </c>
      <c r="J1289" s="228" t="s">
        <v>246</v>
      </c>
      <c r="K1289" s="144">
        <f>SUM(J838:J846)</f>
        <v>0</v>
      </c>
      <c r="L1289" s="144">
        <f>SUM(L838:L846)</f>
        <v>0</v>
      </c>
      <c r="M1289" s="228" t="s">
        <v>246</v>
      </c>
      <c r="N1289" s="144">
        <f>SUM(M838:M846)</f>
        <v>234382</v>
      </c>
      <c r="O1289" s="144">
        <f>SUM(O838:O846)</f>
        <v>234382</v>
      </c>
      <c r="P1289" s="228" t="s">
        <v>246</v>
      </c>
      <c r="Q1289" s="144">
        <f>SUM(P838:P846)</f>
        <v>0</v>
      </c>
      <c r="R1289" s="144">
        <f>SUM(R838:R846)</f>
        <v>0</v>
      </c>
      <c r="S1289" s="228" t="s">
        <v>246</v>
      </c>
      <c r="T1289" s="144">
        <f>SUM(S838:S846)</f>
        <v>0</v>
      </c>
      <c r="U1289" s="144">
        <f>SUM(U838:U846)</f>
        <v>0</v>
      </c>
      <c r="V1289" s="228" t="s">
        <v>246</v>
      </c>
      <c r="W1289" s="144">
        <f>SUM(V838:V846)</f>
        <v>0</v>
      </c>
      <c r="X1289" s="144">
        <f>SUM(X838:X846)</f>
        <v>0</v>
      </c>
      <c r="Y1289" s="228" t="s">
        <v>246</v>
      </c>
      <c r="Z1289" s="144">
        <f>SUM(Y838:Y846)</f>
        <v>0</v>
      </c>
      <c r="AA1289" s="144">
        <f>SUM(AA838:AA846)</f>
        <v>0</v>
      </c>
      <c r="AB1289" s="228" t="s">
        <v>246</v>
      </c>
      <c r="AC1289" s="144">
        <f>SUM(AB838:AB846)</f>
        <v>0</v>
      </c>
      <c r="AD1289" s="144">
        <f>SUM(AD838:AD846)</f>
        <v>0</v>
      </c>
      <c r="AE1289" s="228" t="s">
        <v>246</v>
      </c>
      <c r="AF1289" s="144">
        <f>SUM(AE838:AE846)</f>
        <v>0</v>
      </c>
      <c r="AG1289" s="232">
        <f>SUM(AG838:AG846)</f>
        <v>0</v>
      </c>
      <c r="AH1289" s="228" t="s">
        <v>246</v>
      </c>
      <c r="AI1289" s="144">
        <f>SUM(AH838:AH846)</f>
        <v>0</v>
      </c>
      <c r="AJ1289" s="232">
        <f>SUM(AJ838:AJ846)</f>
        <v>0</v>
      </c>
      <c r="AK1289" s="228" t="s">
        <v>246</v>
      </c>
      <c r="AL1289" s="144">
        <f>SUM(AK838:AK846)</f>
        <v>0</v>
      </c>
      <c r="AM1289" s="232">
        <f>SUM(AM838:AM846)</f>
        <v>0</v>
      </c>
      <c r="AN1289" s="228" t="s">
        <v>246</v>
      </c>
      <c r="AO1289" s="144">
        <f>SUM(AN838:AN846)</f>
        <v>0</v>
      </c>
      <c r="AP1289" s="232">
        <f>SUM(AP838:AP846)</f>
        <v>0</v>
      </c>
      <c r="AQ1289" s="228" t="s">
        <v>246</v>
      </c>
      <c r="AR1289" s="144">
        <f>SUM(AQ838:AQ846)</f>
        <v>0</v>
      </c>
      <c r="AS1289" s="232">
        <f>SUM(AS838:AS846)</f>
        <v>0</v>
      </c>
      <c r="AU1289" s="243" t="s">
        <v>246</v>
      </c>
      <c r="AV1289" s="174">
        <f t="shared" si="1522"/>
        <v>264382</v>
      </c>
      <c r="AW1289" s="268">
        <f t="shared" ref="AW1289:AW1296" si="1526">(AV1289/$AV$1297)</f>
        <v>7.5582371590094213E-4</v>
      </c>
      <c r="AX1289" s="283">
        <f>AV1289/BA1276</f>
        <v>27.431209794563188</v>
      </c>
      <c r="AZ1289" s="145" t="s">
        <v>246</v>
      </c>
      <c r="BA1289" s="144">
        <f>AV1289+'KY - TA'!AV267+'KY - CRP'!AB147</f>
        <v>514382</v>
      </c>
      <c r="BB1289" s="268">
        <f t="shared" si="1523"/>
        <v>1.3375049833164857E-3</v>
      </c>
      <c r="BC1289" s="144">
        <f>BA1289/BA1276</f>
        <v>53.37020128657398</v>
      </c>
      <c r="BE1289" s="145" t="s">
        <v>576</v>
      </c>
      <c r="BF1289" s="145">
        <f>SUM(BF1286:BF1288)</f>
        <v>17</v>
      </c>
      <c r="BG1289" s="231">
        <f>SUM(BG1286:BG1288)</f>
        <v>1</v>
      </c>
      <c r="BH1289" s="144">
        <f>SUM(BH1286:BH1288)</f>
        <v>84211834</v>
      </c>
      <c r="BI1289" s="231">
        <f>SUM(BI1286:BI1288)</f>
        <v>1</v>
      </c>
    </row>
    <row r="1290" spans="7:63">
      <c r="G1290" s="228" t="s">
        <v>247</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8" t="s">
        <v>247</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8" t="s">
        <v>247</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8" t="s">
        <v>247</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8" t="s">
        <v>247</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8" t="s">
        <v>247</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8" t="s">
        <v>247</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8" t="s">
        <v>247</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8" t="s">
        <v>247</v>
      </c>
      <c r="AF1290" s="144">
        <f>SUM(AE1217:AE1228,AE1024:AE1032,AE1002:AE1010,AE951:AE960,AE940:AE948,AE918:AE926,AE907:AE915,AE896:AE904,AE849:AE857,AE827:AE835,AE804:AE813,AE648:AE656,AE152:AE160)</f>
        <v>1012000</v>
      </c>
      <c r="AG1290" s="232">
        <f>SUM(AG1217:AG1228,AG1024:AG1032,AG1002:AG1010,AG951:AG960,AG940:AG948,AG918:AG926,AG907:AG915,AG896:AG904,AG849:AG857,AG827:AG835,AG804:AG813,AG648:AG656,AG152:AG160)</f>
        <v>1012000</v>
      </c>
      <c r="AH1290" s="228" t="s">
        <v>247</v>
      </c>
      <c r="AI1290" s="144">
        <f>SUM(AH1217:AH1228,AH1024:AH1032,AH1002:AH1010,AH951:AH960,AH940:AH948,AH918:AH926,AH907:AH915,AH896:AH904,AH849:AH857,AH827:AH835,AH804:AH813,AH648:AH656,AH152:AH160)</f>
        <v>30146570</v>
      </c>
      <c r="AJ1290" s="232">
        <f>SUM(AJ1217:AJ1228,AJ1024:AJ1032,AJ1002:AJ1010,AJ951:AJ960,AJ940:AJ948,AJ918:AJ926,AJ907:AJ915,AJ896:AJ904,AJ849:AJ857,AJ827:AJ835,AJ804:AJ813,AJ648:AJ656,AJ152:AJ160)</f>
        <v>0</v>
      </c>
      <c r="AK1290" s="228" t="s">
        <v>247</v>
      </c>
      <c r="AL1290" s="144">
        <f>SUM(AK1217:AK1228,AK1024:AK1032,AK1002:AK1010,AK951:AK960,AK940:AK948,AK918:AK926,AK907:AK915,AK896:AK904,AK849:AK857,AK827:AK835,AK804:AK813,AK648:AK656,AK152:AK160)</f>
        <v>2142125</v>
      </c>
      <c r="AM1290" s="232">
        <f>SUM(AM1217:AM1228,AM1024:AM1032,AM1002:AM1010,AM951:AM960,AM940:AM948,AM918:AM926,AM907:AM915,AM896:AM904,AM849:AM857,AM827:AM835,AM804:AM813,AM648:AM656,AM152:AM160)</f>
        <v>0</v>
      </c>
      <c r="AN1290" s="228" t="s">
        <v>247</v>
      </c>
      <c r="AO1290" s="144">
        <f>SUM(AN1217:AN1228,AN1024:AN1032,AN1002:AN1010,AN951:AN960,AN940:AN948,AN918:AN926,AN907:AN915,AN896:AN904,AN849:AN857,AN827:AN835,AN804:AN813,AN648:AN656,AN152:AN160)</f>
        <v>2388889</v>
      </c>
      <c r="AP1290" s="232">
        <f>SUM(AP1217:AP1228,AP1024:AP1032,AP1002:AP1010,AP951:AP960,AP940:AP948,AP918:AP926,AP907:AP915,AP896:AP904,AP849:AP857,AP827:AP835,AP804:AP813,AP648:AP656,AP152:AP160)</f>
        <v>0</v>
      </c>
      <c r="AQ1290" s="228" t="s">
        <v>247</v>
      </c>
      <c r="AR1290" s="144">
        <f>SUM(AQ1217:AQ1228,AQ1024:AQ1032,AQ1002:AQ1010,AQ951:AQ960,AQ940:AQ948,AQ918:AQ926,AQ907:AQ915,AQ896:AQ904,AQ849:AQ857,AQ827:AQ835,AQ804:AQ813,AQ648:AQ656,AQ152:AQ160)</f>
        <v>0</v>
      </c>
      <c r="AS1290" s="232">
        <f>SUM(AS1217:AS1228,AS1024:AS1032,AS1002:AS1010,AS951:AS960,AS940:AS948,AS918:AS926,AS907:AS915,AS896:AS904,AS849:AS857,AS827:AS835,AS804:AS813,AS648:AS656,AS152:AS160)</f>
        <v>0</v>
      </c>
      <c r="AU1290" s="243" t="s">
        <v>247</v>
      </c>
      <c r="AV1290" s="174">
        <f>SUM(AL1290,AI1290,AF1290,AC1290,Z1290,W1290,T1290,Q1290,N1290,K1290,H1290,AO1290,AR1290)</f>
        <v>52401327</v>
      </c>
      <c r="AW1290" s="268">
        <f>(AV1290/$AV$1297)</f>
        <v>0.14980658929609567</v>
      </c>
      <c r="AX1290" s="283">
        <f>AV1290/BA1277</f>
        <v>754.72522360328958</v>
      </c>
      <c r="AZ1290" s="145" t="s">
        <v>247</v>
      </c>
      <c r="BA1290" s="144">
        <f>AV1290+'KY - TA'!AV268+'KY - CRP'!AB148</f>
        <v>52401327</v>
      </c>
      <c r="BB1290" s="268">
        <f t="shared" si="1523"/>
        <v>0.13625483783432685</v>
      </c>
      <c r="BC1290" s="144">
        <f>BA1290/BA1277</f>
        <v>754.72522360328958</v>
      </c>
    </row>
    <row r="1291" spans="7:63">
      <c r="G1291" s="228" t="s">
        <v>259</v>
      </c>
      <c r="H1291" s="144">
        <f>SUM(G7:G16)</f>
        <v>0</v>
      </c>
      <c r="I1291" s="144">
        <f>SUM(I7:I16)</f>
        <v>0</v>
      </c>
      <c r="J1291" s="228" t="s">
        <v>259</v>
      </c>
      <c r="K1291" s="144">
        <f>SUM(J7:J16)</f>
        <v>0</v>
      </c>
      <c r="L1291" s="144">
        <f>SUM(L7:L16)</f>
        <v>0</v>
      </c>
      <c r="M1291" s="228" t="s">
        <v>259</v>
      </c>
      <c r="N1291" s="144">
        <f>SUM(M7:M16)</f>
        <v>0</v>
      </c>
      <c r="O1291" s="144">
        <f>SUM(O7:O16)</f>
        <v>0</v>
      </c>
      <c r="P1291" s="228" t="s">
        <v>259</v>
      </c>
      <c r="Q1291" s="144">
        <f>SUM(P7:P16)</f>
        <v>0</v>
      </c>
      <c r="R1291" s="144">
        <f>SUM(R7:R16)</f>
        <v>0</v>
      </c>
      <c r="S1291" s="228" t="s">
        <v>259</v>
      </c>
      <c r="T1291" s="144">
        <f>SUM(S7:S16)</f>
        <v>883606</v>
      </c>
      <c r="U1291" s="144">
        <f>SUM(U7:U16)</f>
        <v>883606</v>
      </c>
      <c r="V1291" s="228" t="s">
        <v>259</v>
      </c>
      <c r="W1291" s="144">
        <f>SUM(V7:V16)</f>
        <v>0</v>
      </c>
      <c r="X1291" s="144">
        <f>SUM(X7:X16)</f>
        <v>0</v>
      </c>
      <c r="Y1291" s="228" t="s">
        <v>259</v>
      </c>
      <c r="Z1291" s="144">
        <f>SUM(Y7:Y16)</f>
        <v>0</v>
      </c>
      <c r="AA1291" s="144">
        <f>SUM(AA7:AA16)</f>
        <v>0</v>
      </c>
      <c r="AB1291" s="228" t="s">
        <v>259</v>
      </c>
      <c r="AC1291" s="144">
        <f>SUM(AB7:AB16)</f>
        <v>0</v>
      </c>
      <c r="AD1291" s="144">
        <f>SUM(AD7:AD16)</f>
        <v>0</v>
      </c>
      <c r="AE1291" s="228" t="s">
        <v>248</v>
      </c>
      <c r="AF1291" s="144">
        <f>SUM(AE7:AE16)</f>
        <v>0</v>
      </c>
      <c r="AG1291" s="232">
        <f>SUM(AG7:AG16)</f>
        <v>0</v>
      </c>
      <c r="AH1291" s="228" t="s">
        <v>248</v>
      </c>
      <c r="AI1291" s="144">
        <f>SUM(AH7:AH16)</f>
        <v>0</v>
      </c>
      <c r="AJ1291" s="232">
        <f>SUM(AJ7:AJ16)</f>
        <v>0</v>
      </c>
      <c r="AK1291" s="228" t="s">
        <v>248</v>
      </c>
      <c r="AL1291" s="144">
        <f>SUM(AK7:AK16)</f>
        <v>0</v>
      </c>
      <c r="AM1291" s="232">
        <f>SUM(AM7:AM16)</f>
        <v>0</v>
      </c>
      <c r="AN1291" s="228" t="s">
        <v>248</v>
      </c>
      <c r="AO1291" s="144">
        <f>SUM(AN7:AN16)</f>
        <v>0</v>
      </c>
      <c r="AP1291" s="232">
        <f>SUM(AP7:AP16)</f>
        <v>0</v>
      </c>
      <c r="AQ1291" s="228" t="s">
        <v>248</v>
      </c>
      <c r="AR1291" s="144">
        <f>SUM(AQ7:AQ16)</f>
        <v>0</v>
      </c>
      <c r="AS1291" s="232">
        <f>SUM(AS7:AS16)</f>
        <v>0</v>
      </c>
      <c r="AU1291" s="243" t="s">
        <v>248</v>
      </c>
      <c r="AV1291" s="174">
        <f t="shared" si="1522"/>
        <v>883606</v>
      </c>
      <c r="AW1291" s="268">
        <f t="shared" si="1526"/>
        <v>2.5260810883962139E-3</v>
      </c>
      <c r="AX1291" s="283">
        <f>AV1291/BA1278</f>
        <v>10.539696550407939</v>
      </c>
      <c r="AZ1291" s="145" t="s">
        <v>248</v>
      </c>
      <c r="BA1291" s="144">
        <f>AV1291+'KY - TA'!AV269+'KY - CRP'!AB149</f>
        <v>883606</v>
      </c>
      <c r="BB1291" s="268">
        <f t="shared" si="1523"/>
        <v>2.2975676215115353E-3</v>
      </c>
      <c r="BC1291" s="144">
        <f>BA1291/BA1278</f>
        <v>10.539696550407939</v>
      </c>
    </row>
    <row r="1292" spans="7:63">
      <c r="G1292" s="228" t="s">
        <v>88</v>
      </c>
      <c r="H1292" s="144">
        <f>SUM(G1046:G1054,G279:G287)</f>
        <v>354000</v>
      </c>
      <c r="I1292" s="144">
        <f>SUM(I1046:I1054,I279:I287)</f>
        <v>354000</v>
      </c>
      <c r="J1292" s="228" t="s">
        <v>88</v>
      </c>
      <c r="K1292" s="144">
        <f>SUM(J1046:J1054,J279:J287)</f>
        <v>250000</v>
      </c>
      <c r="L1292" s="144">
        <f>SUM(L1046:L1054,L279:L287)</f>
        <v>250000</v>
      </c>
      <c r="M1292" s="228" t="s">
        <v>88</v>
      </c>
      <c r="N1292" s="144">
        <f>SUM(M1046:M1054,M279:M287)</f>
        <v>0</v>
      </c>
      <c r="O1292" s="144">
        <f>SUM(O1046:O1054,O279:O287)</f>
        <v>0</v>
      </c>
      <c r="P1292" s="228" t="s">
        <v>88</v>
      </c>
      <c r="Q1292" s="144">
        <f>SUM(P1046:P1054,P279:P287)</f>
        <v>750000</v>
      </c>
      <c r="R1292" s="144">
        <f>SUM(R1046:R1054,R279:R287)</f>
        <v>750000</v>
      </c>
      <c r="S1292" s="228" t="s">
        <v>88</v>
      </c>
      <c r="T1292" s="144">
        <f>SUM(S1046:S1054,S279:S287)</f>
        <v>0</v>
      </c>
      <c r="U1292" s="144">
        <f>SUM(U1046:U1054,U279:U287)</f>
        <v>0</v>
      </c>
      <c r="V1292" s="228" t="s">
        <v>88</v>
      </c>
      <c r="W1292" s="144">
        <f>SUM(V1046:V1054,V279:V287)</f>
        <v>0</v>
      </c>
      <c r="X1292" s="144">
        <f>SUM(X1046:X1054,X279:X287)</f>
        <v>0</v>
      </c>
      <c r="Y1292" s="228" t="s">
        <v>88</v>
      </c>
      <c r="Z1292" s="144">
        <f>SUM(Y1046:Y1054,Y279:Y287)</f>
        <v>0</v>
      </c>
      <c r="AA1292" s="144">
        <f>SUM(AA1046:AA1054,AA279:AA287)</f>
        <v>0</v>
      </c>
      <c r="AB1292" s="228" t="s">
        <v>88</v>
      </c>
      <c r="AC1292" s="144">
        <f>SUM(AB1046:AB1054,AB279:AB287)</f>
        <v>0</v>
      </c>
      <c r="AD1292" s="144">
        <f>SUM(AD1046:AD1054,AD279:AD287)</f>
        <v>0</v>
      </c>
      <c r="AE1292" s="228" t="s">
        <v>88</v>
      </c>
      <c r="AF1292" s="144">
        <f>SUM(AE1046:AE1054,AE279:AE287,AE1069:AE1078)</f>
        <v>400000</v>
      </c>
      <c r="AG1292" s="232">
        <f>SUM(AG1046:AG1054,AG279:AG287,AG1069:AG1078)</f>
        <v>400000</v>
      </c>
      <c r="AH1292" s="228" t="s">
        <v>88</v>
      </c>
      <c r="AI1292" s="144">
        <f>SUM(AH1046:AH1054,AH279:AH287)</f>
        <v>0</v>
      </c>
      <c r="AJ1292" s="232">
        <f>SUM(AJ1046:AJ1054,AJ279:AJ287)</f>
        <v>0</v>
      </c>
      <c r="AK1292" s="228" t="s">
        <v>88</v>
      </c>
      <c r="AL1292" s="144">
        <f>SUM(AK1046:AK1054,AK279:AK287)</f>
        <v>0</v>
      </c>
      <c r="AM1292" s="232">
        <f>SUM(AM1046:AM1054,AM279:AM287)</f>
        <v>0</v>
      </c>
      <c r="AN1292" s="228" t="s">
        <v>88</v>
      </c>
      <c r="AO1292" s="144">
        <f>SUM(AN1046:AN1054,AN279:AN287)</f>
        <v>0</v>
      </c>
      <c r="AP1292" s="232">
        <f>SUM(AP1046:AP1054,AP279:AP287)</f>
        <v>0</v>
      </c>
      <c r="AQ1292" s="228" t="s">
        <v>88</v>
      </c>
      <c r="AR1292" s="144">
        <f>SUM(AQ1046:AQ1054,AQ279:AQ287)</f>
        <v>0</v>
      </c>
      <c r="AS1292" s="232">
        <f>SUM(AS1046:AS1054,AS279:AS287)</f>
        <v>0</v>
      </c>
      <c r="AU1292" s="243" t="s">
        <v>88</v>
      </c>
      <c r="AV1292" s="174">
        <f>SUM(AL1292,AI1292,AF1292,AC1292,Z1292,W1292,T1292,Q1292,N1292,K1292,H1292,AO1292,AR1292)</f>
        <v>1754000</v>
      </c>
      <c r="AW1292" s="268">
        <f t="shared" si="1526"/>
        <v>5.0143912887044215E-3</v>
      </c>
      <c r="AX1292" s="283"/>
      <c r="AZ1292" s="145" t="s">
        <v>88</v>
      </c>
      <c r="BA1292" s="144">
        <f>AV1292+'KY - TA'!AV270+'KY - CRP'!AB150</f>
        <v>1955886</v>
      </c>
      <c r="BB1292" s="268">
        <f t="shared" si="1523"/>
        <v>5.0857286448572226E-3</v>
      </c>
      <c r="BC1292" s="145"/>
    </row>
    <row r="1293" spans="7:63" ht="45.75">
      <c r="G1293" s="228" t="s">
        <v>249</v>
      </c>
      <c r="H1293" s="144">
        <f>SUM(G1203:G1214,G1159:G1167,G1117:G1125,G1105:G1114)</f>
        <v>0</v>
      </c>
      <c r="I1293" s="144">
        <f>SUM(I1203:I1214,I1159:I1167,I1117:I1125,I1105:I1114)</f>
        <v>0</v>
      </c>
      <c r="J1293" s="228" t="s">
        <v>249</v>
      </c>
      <c r="K1293" s="144">
        <f>SUM(J1203:J1214,J1159:J1167,J1117:J1125,J1105:J1114)</f>
        <v>0</v>
      </c>
      <c r="L1293" s="144">
        <f>SUM(L1203:L1214,L1159:L1167,L1117:L1125,L1105:L1114)</f>
        <v>0</v>
      </c>
      <c r="M1293" s="228" t="s">
        <v>249</v>
      </c>
      <c r="N1293" s="144">
        <f>SUM(M1203:M1214,M1159:M1167,M1117:M1125,M1105:M1114)</f>
        <v>0</v>
      </c>
      <c r="O1293" s="144">
        <f>SUM(O1203:O1214,O1159:O1167,O1117:O1125,O1105:O1114)</f>
        <v>0</v>
      </c>
      <c r="P1293" s="228" t="s">
        <v>249</v>
      </c>
      <c r="Q1293" s="144">
        <f>SUM(P1203:P1214,P1159:P1167,P1117:P1125,P1105:P1114)</f>
        <v>0</v>
      </c>
      <c r="R1293" s="144">
        <f>SUM(R1203:R1214,R1159:R1167,R1117:R1125,R1105:R1114)</f>
        <v>0</v>
      </c>
      <c r="S1293" s="228" t="s">
        <v>249</v>
      </c>
      <c r="T1293" s="144">
        <f>SUM(S1203:S1214,S1159:S1167,S1117:S1125,S1105:S1114)</f>
        <v>0</v>
      </c>
      <c r="U1293" s="144">
        <f>SUM(U1203:U1214,U1159:U1167,U1117:U1125,U1105:U1114)</f>
        <v>0</v>
      </c>
      <c r="V1293" s="228" t="s">
        <v>249</v>
      </c>
      <c r="W1293" s="144">
        <f>SUM(V1203:V1214,V1159:V1167,V1117:V1125,V1105:V1114)</f>
        <v>271695</v>
      </c>
      <c r="X1293" s="144">
        <f>SUM(X1203:X1214,X1159:X1167,X1117:X1125,X1105:X1114)</f>
        <v>271695</v>
      </c>
      <c r="Y1293" s="228" t="s">
        <v>249</v>
      </c>
      <c r="Z1293" s="144">
        <f>SUM(Y1203:Y1214,Y1159:Y1167,Y1117:Y1125,Y1105:Y1114)</f>
        <v>61138</v>
      </c>
      <c r="AA1293" s="144">
        <f>SUM(AA1203:AA1214,AA1159:AA1167,AA1117:AA1125,AA1105:AA1114)</f>
        <v>61138</v>
      </c>
      <c r="AB1293" s="228" t="s">
        <v>249</v>
      </c>
      <c r="AC1293" s="144">
        <f>SUM(AB1203:AB1214,AB1159:AB1167,AB1117:AB1125,AB1105:AB1114)</f>
        <v>589640</v>
      </c>
      <c r="AD1293" s="144">
        <f>SUM(AD1203:AD1214,AD1159:AD1167,AD1117:AD1125,AD1105:AD1114)</f>
        <v>440000</v>
      </c>
      <c r="AE1293" s="228" t="s">
        <v>249</v>
      </c>
      <c r="AF1293" s="144">
        <f>SUM(AE1203:AE1214,AE1159:AE1167,AE1117:AE1125,AE1105:AE1114)</f>
        <v>807368</v>
      </c>
      <c r="AG1293" s="232">
        <f>SUM(AG1203:AG1214,AG1159:AG1167,AG1117:AG1125,AG1105:AG1114)</f>
        <v>808800</v>
      </c>
      <c r="AH1293" s="228" t="s">
        <v>249</v>
      </c>
      <c r="AI1293" s="144">
        <f>SUM(AH1203:AH1214,AH1159:AH1167,AH1117:AH1125,AH1105:AH1114)</f>
        <v>4592000</v>
      </c>
      <c r="AJ1293" s="232">
        <f>SUM(AJ1203:AJ1214,AJ1159:AJ1167,AJ1117:AJ1125,AJ1105:AJ1114)</f>
        <v>0</v>
      </c>
      <c r="AK1293" s="228" t="s">
        <v>249</v>
      </c>
      <c r="AL1293" s="144">
        <f>SUM(AK1203:AK1214,AK1159:AK1167,AK1117:AK1125,AK1105:AK1114)</f>
        <v>0</v>
      </c>
      <c r="AM1293" s="232">
        <f>SUM(AM1203:AM1214,AM1159:AM1167,AM1117:AM1125,AM1105:AM1114)</f>
        <v>0</v>
      </c>
      <c r="AN1293" s="228" t="s">
        <v>249</v>
      </c>
      <c r="AO1293" s="144">
        <f>SUM(AN1203:AN1214,AN1159:AN1167,AN1117:AN1125,AN1105:AN1114)</f>
        <v>0</v>
      </c>
      <c r="AP1293" s="232">
        <f>SUM(AP1203:AP1214,AP1159:AP1167,AP1117:AP1125,AP1105:AP1114)</f>
        <v>0</v>
      </c>
      <c r="AQ1293" s="228" t="s">
        <v>249</v>
      </c>
      <c r="AR1293" s="144">
        <f>SUM(AQ1203:AQ1214,AQ1159:AQ1167,AQ1117:AQ1125,AQ1105:AQ1114)</f>
        <v>0</v>
      </c>
      <c r="AS1293" s="232">
        <f>SUM(AS1203:AS1214,AS1159:AS1167,AS1117:AS1125,AS1105:AS1114)</f>
        <v>0</v>
      </c>
      <c r="AU1293" s="243" t="s">
        <v>249</v>
      </c>
      <c r="AV1293" s="174">
        <f>SUM(AL1293,AI1293,AF1293,AC1293,Z1293,W1293,T1293,Q1293,N1293,K1293,H1293,AO1293,AR1293)</f>
        <v>6321841</v>
      </c>
      <c r="AW1293" s="268">
        <f t="shared" si="1526"/>
        <v>1.8073081208081213E-2</v>
      </c>
      <c r="AX1293" s="283"/>
      <c r="AZ1293" s="145" t="s">
        <v>249</v>
      </c>
      <c r="BA1293" s="144">
        <f>AV1293+'KY - TA'!AV271+'KY - CRP'!AB151</f>
        <v>6321841</v>
      </c>
      <c r="BB1293" s="268">
        <f t="shared" si="1523"/>
        <v>1.6438160435696573E-2</v>
      </c>
      <c r="BC1293" s="145"/>
      <c r="BE1293" s="816" t="s">
        <v>164</v>
      </c>
      <c r="BF1293" s="228" t="s">
        <v>577</v>
      </c>
      <c r="BG1293" s="243" t="s">
        <v>578</v>
      </c>
      <c r="BH1293" s="228" t="s">
        <v>579</v>
      </c>
      <c r="BJ1293" s="1" t="s">
        <v>580</v>
      </c>
      <c r="BK1293" s="1" t="s">
        <v>581</v>
      </c>
    </row>
    <row r="1294" spans="7:63">
      <c r="G1294" s="228" t="s">
        <v>80</v>
      </c>
      <c r="H1294" s="144">
        <f>SUM(G86:G94)</f>
        <v>1010000</v>
      </c>
      <c r="I1294" s="144">
        <f>SUM(I86:I94)</f>
        <v>1010000</v>
      </c>
      <c r="J1294" s="228" t="s">
        <v>80</v>
      </c>
      <c r="K1294" s="144">
        <f>SUM(J86:J94)</f>
        <v>1060500</v>
      </c>
      <c r="L1294" s="144">
        <f>SUM(L86:L94)</f>
        <v>1060500</v>
      </c>
      <c r="M1294" s="228" t="s">
        <v>80</v>
      </c>
      <c r="N1294" s="144">
        <f>SUM(M86:M94)</f>
        <v>1092315</v>
      </c>
      <c r="O1294" s="144">
        <f>SUM(O86:O94)</f>
        <v>1092315</v>
      </c>
      <c r="P1294" s="228" t="s">
        <v>80</v>
      </c>
      <c r="Q1294" s="144">
        <f>SUM(P86:P94)</f>
        <v>1113532</v>
      </c>
      <c r="R1294" s="144">
        <f>SUM(R86:R94)</f>
        <v>1113532</v>
      </c>
      <c r="S1294" s="228" t="s">
        <v>80</v>
      </c>
      <c r="T1294" s="144">
        <f>SUM(S86:S94)</f>
        <v>1146938</v>
      </c>
      <c r="U1294" s="144">
        <f>SUM(U86:U94)</f>
        <v>1146938</v>
      </c>
      <c r="V1294" s="228" t="s">
        <v>80</v>
      </c>
      <c r="W1294" s="144">
        <f>SUM(V86:V94)</f>
        <v>1181346</v>
      </c>
      <c r="X1294" s="144">
        <f>SUM(X86:X94)</f>
        <v>1181346</v>
      </c>
      <c r="Y1294" s="228" t="s">
        <v>80</v>
      </c>
      <c r="Z1294" s="144">
        <f>SUM(Y86:Y94)</f>
        <v>1181346</v>
      </c>
      <c r="AA1294" s="144">
        <f>SUM(AA86:AA94)</f>
        <v>1181346</v>
      </c>
      <c r="AB1294" s="228" t="s">
        <v>80</v>
      </c>
      <c r="AC1294" s="144">
        <f>SUM(AB86:AB94)</f>
        <v>1204973</v>
      </c>
      <c r="AD1294" s="144">
        <f>SUM(AD86:AD94)</f>
        <v>1204973</v>
      </c>
      <c r="AE1294" s="228" t="s">
        <v>80</v>
      </c>
      <c r="AF1294" s="144">
        <f>SUM(AE86:AE94)</f>
        <v>977000</v>
      </c>
      <c r="AG1294" s="232">
        <f>SUM(AG86:AG94)</f>
        <v>977000</v>
      </c>
      <c r="AH1294" s="228" t="s">
        <v>80</v>
      </c>
      <c r="AI1294" s="144">
        <f>SUM(AH86:AH94)</f>
        <v>996540</v>
      </c>
      <c r="AJ1294" s="232">
        <f>SUM(AJ86:AJ94)</f>
        <v>0</v>
      </c>
      <c r="AK1294" s="228" t="s">
        <v>80</v>
      </c>
      <c r="AL1294" s="144">
        <f>SUM(AK86:AK94)</f>
        <v>1016470</v>
      </c>
      <c r="AM1294" s="232">
        <f>SUM(AM86:AM94)</f>
        <v>0</v>
      </c>
      <c r="AN1294" s="228" t="s">
        <v>80</v>
      </c>
      <c r="AO1294" s="144">
        <f>SUM(AN86:AN94)</f>
        <v>1036800</v>
      </c>
      <c r="AP1294" s="232">
        <f>SUM(AP86:AP94)</f>
        <v>0</v>
      </c>
      <c r="AQ1294" s="228" t="s">
        <v>80</v>
      </c>
      <c r="AR1294" s="144">
        <f>SUM(AQ86:AQ94)</f>
        <v>1057536</v>
      </c>
      <c r="AS1294" s="232">
        <f>SUM(AS86:AS94)</f>
        <v>0</v>
      </c>
      <c r="AU1294" s="234" t="s">
        <v>80</v>
      </c>
      <c r="AV1294" s="174">
        <f t="shared" si="1522"/>
        <v>14075296</v>
      </c>
      <c r="AW1294" s="268">
        <f t="shared" si="1526"/>
        <v>4.0238906298937394E-2</v>
      </c>
      <c r="AX1294" s="252"/>
      <c r="AZ1294" s="145" t="s">
        <v>80</v>
      </c>
      <c r="BA1294" s="144">
        <f>AV1294+'KY - CRP'!AB152</f>
        <v>14075296</v>
      </c>
      <c r="BB1294" s="268">
        <f t="shared" si="1523"/>
        <v>3.6598828383680997E-2</v>
      </c>
      <c r="BC1294" s="145"/>
      <c r="BE1294" s="239" t="s">
        <v>582</v>
      </c>
      <c r="BF1294" s="144">
        <f>SUM(BA1286,BA1288,BA1289,BA1293,BA1295,BA1297,BH1286,BJ1294,BK1294)</f>
        <v>304142778.52743596</v>
      </c>
      <c r="BG1294" s="272">
        <f>BF1294/$BF$1297</f>
        <v>0.81224754444286507</v>
      </c>
      <c r="BH1294" s="144">
        <f>BF1294/BA1282</f>
        <v>393.25468293524551</v>
      </c>
      <c r="BI1294" s="279" t="s">
        <v>573</v>
      </c>
      <c r="BJ1294" s="278">
        <f>BA1294*0.66666</f>
        <v>9383436.8313600011</v>
      </c>
      <c r="BK1294" s="56">
        <f>BA1292*0.666666</f>
        <v>1303922.6960759999</v>
      </c>
    </row>
    <row r="1295" spans="7:63">
      <c r="AU1295" s="249" t="s">
        <v>583</v>
      </c>
      <c r="AV1295" s="254">
        <v>300000</v>
      </c>
      <c r="AW1295" s="268">
        <f t="shared" si="1526"/>
        <v>8.5764959327897753E-4</v>
      </c>
      <c r="AX1295" s="283">
        <f>AV1295/BA1279</f>
        <v>65.905096660808439</v>
      </c>
      <c r="AZ1295" s="145" t="s">
        <v>583</v>
      </c>
      <c r="BA1295" s="233">
        <f>AV1295</f>
        <v>300000</v>
      </c>
      <c r="BB1295" s="268">
        <f t="shared" si="1523"/>
        <v>7.8006519472871463E-4</v>
      </c>
      <c r="BC1295" s="233">
        <f>BA1295/BA1279</f>
        <v>65.905096660808439</v>
      </c>
      <c r="BE1295" s="277" t="s">
        <v>584</v>
      </c>
      <c r="BF1295" s="144">
        <f>SUM(BA1290,BH1287,BJ1296,BK1296)</f>
        <v>63891657.166666664</v>
      </c>
      <c r="BG1295" s="272">
        <f t="shared" ref="BG1295:BG1296" si="1527">BF1295/$BF$1297</f>
        <v>0.17062986632552574</v>
      </c>
      <c r="BH1295" s="144">
        <f>BF1295/BA1277</f>
        <v>920.21801740817023</v>
      </c>
      <c r="BI1295" s="279" t="s">
        <v>575</v>
      </c>
      <c r="BJ1295" s="278">
        <f>BA1294/6</f>
        <v>2345882.6666666665</v>
      </c>
      <c r="BK1295" s="56">
        <f>BA1292/6</f>
        <v>325981</v>
      </c>
    </row>
    <row r="1296" spans="7:63">
      <c r="G1296" s="230" t="s">
        <v>145</v>
      </c>
      <c r="H1296" s="230" t="s">
        <v>170</v>
      </c>
      <c r="J1296" s="230" t="s">
        <v>145</v>
      </c>
      <c r="K1296" s="230" t="s">
        <v>170</v>
      </c>
      <c r="M1296" s="230" t="s">
        <v>145</v>
      </c>
      <c r="N1296" s="230" t="s">
        <v>170</v>
      </c>
      <c r="P1296" s="230" t="s">
        <v>145</v>
      </c>
      <c r="Q1296" s="230" t="s">
        <v>170</v>
      </c>
      <c r="S1296" s="230" t="s">
        <v>145</v>
      </c>
      <c r="T1296" s="230" t="s">
        <v>170</v>
      </c>
      <c r="V1296" s="230" t="s">
        <v>145</v>
      </c>
      <c r="W1296" s="230" t="s">
        <v>170</v>
      </c>
      <c r="Y1296" s="230" t="s">
        <v>145</v>
      </c>
      <c r="Z1296" s="230" t="s">
        <v>170</v>
      </c>
      <c r="AB1296" s="230" t="s">
        <v>145</v>
      </c>
      <c r="AC1296" s="230" t="s">
        <v>170</v>
      </c>
      <c r="AE1296" s="230" t="s">
        <v>145</v>
      </c>
      <c r="AF1296" s="230" t="s">
        <v>170</v>
      </c>
      <c r="AG1296" s="463"/>
      <c r="AH1296" s="230" t="s">
        <v>145</v>
      </c>
      <c r="AI1296" s="230" t="s">
        <v>170</v>
      </c>
      <c r="AK1296" s="230" t="s">
        <v>145</v>
      </c>
      <c r="AL1296" s="230" t="s">
        <v>170</v>
      </c>
      <c r="AN1296" s="230" t="s">
        <v>145</v>
      </c>
      <c r="AO1296" s="230" t="s">
        <v>170</v>
      </c>
      <c r="AQ1296" s="230" t="s">
        <v>145</v>
      </c>
      <c r="AR1296" s="230" t="s">
        <v>170</v>
      </c>
      <c r="AU1296" s="250" t="s">
        <v>585</v>
      </c>
      <c r="AV1296" s="255">
        <v>2172014</v>
      </c>
      <c r="AW1296" s="269">
        <f t="shared" si="1526"/>
        <v>6.2094230789874836E-3</v>
      </c>
      <c r="AX1296" s="283">
        <f>AV1296/BA1280</f>
        <v>117.89046895353886</v>
      </c>
      <c r="AZ1296" s="145" t="s">
        <v>585</v>
      </c>
      <c r="BA1296" s="233">
        <f>AV1296+'KY - TA'!AV272</f>
        <v>2452014</v>
      </c>
      <c r="BB1296" s="268">
        <f t="shared" si="1523"/>
        <v>6.3757692612917815E-3</v>
      </c>
      <c r="BC1296" s="233">
        <f>BA1296/BA1280</f>
        <v>133.08803734259661</v>
      </c>
      <c r="BE1296" s="277" t="s">
        <v>586</v>
      </c>
      <c r="BF1296" s="144">
        <f>SUM(BA1291,BA1296,BH1288,BJ1295,BK1295)</f>
        <v>6411483.666666666</v>
      </c>
      <c r="BG1296" s="272">
        <f t="shared" si="1527"/>
        <v>1.7122589231609066E-2</v>
      </c>
      <c r="BH1296" s="144">
        <f>BF1296/BA1278</f>
        <v>76.476497765478626</v>
      </c>
      <c r="BI1296" s="279" t="s">
        <v>574</v>
      </c>
      <c r="BJ1296" s="278">
        <v>2125400.5</v>
      </c>
      <c r="BK1296" s="56">
        <v>319237.66666666669</v>
      </c>
    </row>
    <row r="1297" spans="7:60">
      <c r="G1297" s="228" t="s">
        <v>204</v>
      </c>
      <c r="H1297" s="231">
        <f>I1286/H1275</f>
        <v>0.99768957473582975</v>
      </c>
      <c r="J1297" s="228" t="s">
        <v>204</v>
      </c>
      <c r="K1297" s="231">
        <f>L1286/K1275</f>
        <v>0.94763038296311819</v>
      </c>
      <c r="M1297" s="228" t="s">
        <v>204</v>
      </c>
      <c r="N1297" s="231">
        <f>O1286/N1275</f>
        <v>0.92198537680419901</v>
      </c>
      <c r="P1297" s="228" t="s">
        <v>204</v>
      </c>
      <c r="Q1297" s="231">
        <f>R1286/Q1275</f>
        <v>0.94733403164940944</v>
      </c>
      <c r="S1297" s="228" t="s">
        <v>204</v>
      </c>
      <c r="T1297" s="231">
        <f>U1286/T1275</f>
        <v>1</v>
      </c>
      <c r="V1297" s="228" t="s">
        <v>204</v>
      </c>
      <c r="W1297" s="231">
        <f>X1286/W1275</f>
        <v>1</v>
      </c>
      <c r="Y1297" s="228" t="s">
        <v>204</v>
      </c>
      <c r="Z1297" s="231">
        <f>AA1286/Z1275</f>
        <v>0.95093629343629349</v>
      </c>
      <c r="AB1297" s="228" t="s">
        <v>204</v>
      </c>
      <c r="AC1297" s="231">
        <f>AD1286/AC1275</f>
        <v>0.2359359461972953</v>
      </c>
      <c r="AE1297" s="228" t="s">
        <v>204</v>
      </c>
      <c r="AF1297" s="231">
        <f>AG1286/AF1275</f>
        <v>6.3410525994886002E-2</v>
      </c>
      <c r="AG1297" s="463"/>
      <c r="AH1297" s="228" t="s">
        <v>204</v>
      </c>
      <c r="AI1297" s="231">
        <f>AJ1286/AI1275</f>
        <v>0</v>
      </c>
      <c r="AK1297" s="228" t="s">
        <v>204</v>
      </c>
      <c r="AL1297" s="231">
        <f>AM1286/AL1275</f>
        <v>0</v>
      </c>
      <c r="AN1297" s="228" t="s">
        <v>204</v>
      </c>
      <c r="AO1297" s="231">
        <f>AP1286/AO1275</f>
        <v>0</v>
      </c>
      <c r="AQ1297" s="228" t="s">
        <v>204</v>
      </c>
      <c r="AR1297" s="231">
        <f>AS1286/AR1275</f>
        <v>0</v>
      </c>
      <c r="AU1297" s="245" t="s">
        <v>167</v>
      </c>
      <c r="AV1297" s="175">
        <f>SUM(AV1286:AV1296)</f>
        <v>349793205</v>
      </c>
      <c r="AW1297" s="270">
        <f>SUM(AW1286:AW1296)</f>
        <v>1</v>
      </c>
      <c r="AX1297" s="252"/>
      <c r="AZ1297" s="265" t="s">
        <v>587</v>
      </c>
      <c r="BA1297" s="266">
        <f>'KY - TA'!AV273</f>
        <v>1455334</v>
      </c>
      <c r="BB1297" s="269">
        <f t="shared" si="1523"/>
        <v>3.7841846670177309E-3</v>
      </c>
      <c r="BC1297" s="233">
        <f>BA1297/BA1281</f>
        <v>94.001679369590491</v>
      </c>
      <c r="BE1297" s="277" t="s">
        <v>576</v>
      </c>
      <c r="BF1297" s="144">
        <f>SUM(BF1294:BF1296)</f>
        <v>374445919.36076933</v>
      </c>
      <c r="BG1297" s="272">
        <f>SUM(BG1294:BG1296)</f>
        <v>0.99999999999999989</v>
      </c>
      <c r="BH1297" s="144">
        <f>(BF1297)/(BA1282+BA1278+BA1277)</f>
        <v>404.07862094947836</v>
      </c>
    </row>
    <row r="1298" spans="7:60">
      <c r="G1298" s="228" t="s">
        <v>245</v>
      </c>
      <c r="H1298" s="231">
        <f>I1287/H1276</f>
        <v>1.0084441223339919</v>
      </c>
      <c r="J1298" s="228" t="s">
        <v>245</v>
      </c>
      <c r="K1298" s="231">
        <f>L1287/K1276</f>
        <v>1</v>
      </c>
      <c r="M1298" s="228" t="s">
        <v>245</v>
      </c>
      <c r="N1298" s="231">
        <f>O1287/N1276</f>
        <v>1</v>
      </c>
      <c r="P1298" s="228" t="s">
        <v>245</v>
      </c>
      <c r="Q1298" s="231">
        <f>R1287/Q1276</f>
        <v>1</v>
      </c>
      <c r="S1298" s="228" t="s">
        <v>245</v>
      </c>
      <c r="T1298" s="231">
        <f>U1287/T1276</f>
        <v>0.76014100830596876</v>
      </c>
      <c r="V1298" s="228" t="s">
        <v>245</v>
      </c>
      <c r="W1298" s="231" t="e">
        <f>X1287/W1276</f>
        <v>#DIV/0!</v>
      </c>
      <c r="Y1298" s="228" t="s">
        <v>245</v>
      </c>
      <c r="Z1298" s="231">
        <f>AA1287/Z1276</f>
        <v>1</v>
      </c>
      <c r="AB1298" s="228" t="s">
        <v>245</v>
      </c>
      <c r="AC1298" s="231">
        <f>AD1287/AC1276</f>
        <v>0.13267687819110138</v>
      </c>
      <c r="AE1298" s="228" t="s">
        <v>245</v>
      </c>
      <c r="AF1298" s="231">
        <f t="shared" ref="AF1298:AF1305" si="1528">AG1287/AF1276</f>
        <v>8.0644555459565032E-2</v>
      </c>
      <c r="AH1298" s="228" t="s">
        <v>245</v>
      </c>
      <c r="AI1298" s="231">
        <f t="shared" ref="AI1298:AI1305" si="1529">AJ1287/AI1276</f>
        <v>0.42955326460481097</v>
      </c>
      <c r="AK1298" s="228" t="s">
        <v>245</v>
      </c>
      <c r="AL1298" s="231">
        <f>AM1287/AL1276</f>
        <v>0</v>
      </c>
      <c r="AN1298" s="228" t="s">
        <v>245</v>
      </c>
      <c r="AO1298" s="231" t="e">
        <f>AP1287/AO1276</f>
        <v>#DIV/0!</v>
      </c>
      <c r="AQ1298" s="228" t="s">
        <v>245</v>
      </c>
      <c r="AR1298" s="231" t="e">
        <f>AS1287/AR1276</f>
        <v>#DIV/0!</v>
      </c>
      <c r="AU1298" s="246" t="s">
        <v>169</v>
      </c>
      <c r="AV1298" s="247">
        <f>SUM(AV1286:AV1293,AV1295:AV1296)</f>
        <v>335717909</v>
      </c>
      <c r="AZ1298" s="145" t="s">
        <v>167</v>
      </c>
      <c r="BA1298" s="174">
        <f>SUM(BA1286:BA1297)</f>
        <v>384583240</v>
      </c>
      <c r="BB1298" s="231">
        <f>SUM(BB1286:BB1297)</f>
        <v>1.0000000000000002</v>
      </c>
      <c r="BC1298" s="450"/>
    </row>
    <row r="1299" spans="7:60">
      <c r="G1299" s="228" t="s">
        <v>208</v>
      </c>
      <c r="H1299" s="231" t="e">
        <f t="shared" ref="H1299" si="1530">I1288/H1277</f>
        <v>#DIV/0!</v>
      </c>
      <c r="J1299" s="228" t="s">
        <v>208</v>
      </c>
      <c r="K1299" s="231" t="e">
        <f t="shared" ref="K1299" si="1531">L1288/K1277</f>
        <v>#DIV/0!</v>
      </c>
      <c r="M1299" s="228" t="s">
        <v>208</v>
      </c>
      <c r="N1299" s="231">
        <f t="shared" ref="N1299" si="1532">O1288/N1277</f>
        <v>1</v>
      </c>
      <c r="P1299" s="228" t="s">
        <v>208</v>
      </c>
      <c r="Q1299" s="231">
        <f t="shared" ref="Q1299" si="1533">R1288/Q1277</f>
        <v>1</v>
      </c>
      <c r="S1299" s="228" t="s">
        <v>208</v>
      </c>
      <c r="T1299" s="231" t="e">
        <f t="shared" ref="T1299" si="1534">U1288/T1277</f>
        <v>#DIV/0!</v>
      </c>
      <c r="V1299" s="228" t="s">
        <v>208</v>
      </c>
      <c r="W1299" s="231">
        <f t="shared" ref="W1299" si="1535">X1288/W1277</f>
        <v>0.89901346854945741</v>
      </c>
      <c r="Y1299" s="228" t="s">
        <v>208</v>
      </c>
      <c r="Z1299" s="231" t="e">
        <f t="shared" ref="Z1299" si="1536">AA1288/Z1277</f>
        <v>#DIV/0!</v>
      </c>
      <c r="AB1299" s="228" t="s">
        <v>208</v>
      </c>
      <c r="AC1299" s="231">
        <f t="shared" ref="AC1299:AC1305" si="1537">AD1288/AC1277</f>
        <v>0</v>
      </c>
      <c r="AE1299" s="228" t="s">
        <v>208</v>
      </c>
      <c r="AF1299" s="231">
        <f t="shared" si="1528"/>
        <v>0.67769474337959046</v>
      </c>
      <c r="AH1299" s="228" t="s">
        <v>208</v>
      </c>
      <c r="AI1299" s="231">
        <f t="shared" si="1529"/>
        <v>0</v>
      </c>
      <c r="AK1299" s="228" t="s">
        <v>208</v>
      </c>
      <c r="AL1299" s="231">
        <f t="shared" ref="AL1299:AL1305" si="1538">AM1288/AL1277</f>
        <v>0</v>
      </c>
      <c r="AN1299" s="228" t="s">
        <v>208</v>
      </c>
      <c r="AO1299" s="231">
        <f t="shared" ref="AO1299:AO1300" si="1539">AP1288/AO1277</f>
        <v>0</v>
      </c>
      <c r="AQ1299" s="228" t="s">
        <v>208</v>
      </c>
      <c r="AR1299" s="231">
        <f t="shared" ref="AR1299:AR1300" si="1540">AS1288/AR1277</f>
        <v>0</v>
      </c>
      <c r="AZ1299" s="145" t="s">
        <v>169</v>
      </c>
      <c r="BA1299" s="144">
        <f>BA1298-BA1294</f>
        <v>370507944</v>
      </c>
    </row>
    <row r="1300" spans="7:60">
      <c r="G1300" s="228" t="s">
        <v>246</v>
      </c>
      <c r="H1300" s="231">
        <f>I1289/H1278</f>
        <v>1</v>
      </c>
      <c r="J1300" s="228" t="s">
        <v>246</v>
      </c>
      <c r="K1300" s="231" t="e">
        <f>L1289/K1278</f>
        <v>#DIV/0!</v>
      </c>
      <c r="M1300" s="228" t="s">
        <v>246</v>
      </c>
      <c r="N1300" s="231">
        <f>O1289/N1278</f>
        <v>1</v>
      </c>
      <c r="P1300" s="228" t="s">
        <v>246</v>
      </c>
      <c r="Q1300" s="231" t="e">
        <f>R1289/Q1278</f>
        <v>#DIV/0!</v>
      </c>
      <c r="S1300" s="228" t="s">
        <v>246</v>
      </c>
      <c r="T1300" s="231" t="e">
        <f>U1289/T1278</f>
        <v>#DIV/0!</v>
      </c>
      <c r="V1300" s="228" t="s">
        <v>246</v>
      </c>
      <c r="W1300" s="231" t="e">
        <f>X1289/W1278</f>
        <v>#DIV/0!</v>
      </c>
      <c r="Y1300" s="228" t="s">
        <v>246</v>
      </c>
      <c r="Z1300" s="231" t="e">
        <f>AA1289/Z1278</f>
        <v>#DIV/0!</v>
      </c>
      <c r="AB1300" s="228" t="s">
        <v>246</v>
      </c>
      <c r="AC1300" s="231" t="e">
        <f>AD1289/AC1278</f>
        <v>#DIV/0!</v>
      </c>
      <c r="AE1300" s="228" t="s">
        <v>246</v>
      </c>
      <c r="AF1300" s="231" t="e">
        <f t="shared" si="1528"/>
        <v>#DIV/0!</v>
      </c>
      <c r="AH1300" s="228" t="s">
        <v>246</v>
      </c>
      <c r="AI1300" s="231" t="e">
        <f t="shared" si="1529"/>
        <v>#DIV/0!</v>
      </c>
      <c r="AK1300" s="228" t="s">
        <v>246</v>
      </c>
      <c r="AL1300" s="231" t="e">
        <f t="shared" si="1538"/>
        <v>#DIV/0!</v>
      </c>
      <c r="AN1300" s="228" t="s">
        <v>246</v>
      </c>
      <c r="AO1300" s="231" t="e">
        <f t="shared" si="1539"/>
        <v>#DIV/0!</v>
      </c>
      <c r="AQ1300" s="228" t="s">
        <v>246</v>
      </c>
      <c r="AR1300" s="231" t="e">
        <f t="shared" si="1540"/>
        <v>#DIV/0!</v>
      </c>
    </row>
    <row r="1301" spans="7:60">
      <c r="G1301" s="228" t="s">
        <v>247</v>
      </c>
      <c r="H1301" s="231">
        <f t="shared" ref="H1301:H1305" si="1541">I1290/H1279</f>
        <v>1</v>
      </c>
      <c r="J1301" s="228" t="s">
        <v>247</v>
      </c>
      <c r="K1301" s="231">
        <f t="shared" ref="K1301:K1305" si="1542">L1290/K1279</f>
        <v>1</v>
      </c>
      <c r="M1301" s="228" t="s">
        <v>247</v>
      </c>
      <c r="N1301" s="231">
        <f t="shared" ref="N1301:N1305" si="1543">O1290/N1279</f>
        <v>0.86240000000000006</v>
      </c>
      <c r="P1301" s="228" t="s">
        <v>247</v>
      </c>
      <c r="Q1301" s="231">
        <f t="shared" ref="Q1301:Q1305" si="1544">R1290/Q1279</f>
        <v>1</v>
      </c>
      <c r="S1301" s="228" t="s">
        <v>247</v>
      </c>
      <c r="T1301" s="231">
        <f t="shared" ref="T1301:T1305" si="1545">U1290/T1279</f>
        <v>0.34874633669814392</v>
      </c>
      <c r="V1301" s="228" t="s">
        <v>247</v>
      </c>
      <c r="W1301" s="231">
        <f t="shared" ref="W1301:W1305" si="1546">X1290/W1279</f>
        <v>0.97194008037997803</v>
      </c>
      <c r="Y1301" s="228" t="s">
        <v>247</v>
      </c>
      <c r="Z1301" s="231">
        <f t="shared" ref="Z1301:Z1305" si="1547">AA1290/Z1279</f>
        <v>1</v>
      </c>
      <c r="AB1301" s="228" t="s">
        <v>247</v>
      </c>
      <c r="AC1301" s="231">
        <f t="shared" si="1537"/>
        <v>0.73335020169040399</v>
      </c>
      <c r="AE1301" s="228" t="s">
        <v>247</v>
      </c>
      <c r="AF1301" s="231">
        <f>AG1290/AF1279</f>
        <v>6.0688039251008852E-2</v>
      </c>
      <c r="AH1301" s="228" t="s">
        <v>247</v>
      </c>
      <c r="AI1301" s="231">
        <f>AJ1290/AI1279</f>
        <v>0</v>
      </c>
      <c r="AK1301" s="228" t="s">
        <v>247</v>
      </c>
      <c r="AL1301" s="231">
        <f>AM1290/AL1279</f>
        <v>0</v>
      </c>
      <c r="AN1301" s="228" t="s">
        <v>247</v>
      </c>
      <c r="AO1301" s="231">
        <f>AP1290/AO1279</f>
        <v>0</v>
      </c>
      <c r="AQ1301" s="228" t="s">
        <v>247</v>
      </c>
      <c r="AR1301" s="231" t="e">
        <f>AS1290/AR1279</f>
        <v>#DIV/0!</v>
      </c>
    </row>
    <row r="1302" spans="7:60">
      <c r="G1302" s="228" t="s">
        <v>248</v>
      </c>
      <c r="H1302" s="231" t="e">
        <f t="shared" si="1541"/>
        <v>#DIV/0!</v>
      </c>
      <c r="J1302" s="228" t="s">
        <v>248</v>
      </c>
      <c r="K1302" s="231" t="e">
        <f t="shared" si="1542"/>
        <v>#DIV/0!</v>
      </c>
      <c r="M1302" s="228" t="s">
        <v>248</v>
      </c>
      <c r="N1302" s="231" t="e">
        <f t="shared" si="1543"/>
        <v>#DIV/0!</v>
      </c>
      <c r="P1302" s="228" t="s">
        <v>248</v>
      </c>
      <c r="Q1302" s="231" t="e">
        <f t="shared" si="1544"/>
        <v>#DIV/0!</v>
      </c>
      <c r="S1302" s="228" t="s">
        <v>248</v>
      </c>
      <c r="T1302" s="231">
        <f t="shared" si="1545"/>
        <v>1</v>
      </c>
      <c r="V1302" s="228" t="s">
        <v>248</v>
      </c>
      <c r="W1302" s="231" t="e">
        <f t="shared" si="1546"/>
        <v>#DIV/0!</v>
      </c>
      <c r="Y1302" s="228" t="s">
        <v>248</v>
      </c>
      <c r="Z1302" s="231" t="e">
        <f t="shared" si="1547"/>
        <v>#DIV/0!</v>
      </c>
      <c r="AB1302" s="228" t="s">
        <v>248</v>
      </c>
      <c r="AC1302" s="231" t="e">
        <f t="shared" si="1537"/>
        <v>#DIV/0!</v>
      </c>
      <c r="AE1302" s="228" t="s">
        <v>248</v>
      </c>
      <c r="AF1302" s="231" t="e">
        <f t="shared" si="1528"/>
        <v>#DIV/0!</v>
      </c>
      <c r="AH1302" s="228" t="s">
        <v>248</v>
      </c>
      <c r="AI1302" s="231" t="e">
        <f t="shared" si="1529"/>
        <v>#DIV/0!</v>
      </c>
      <c r="AK1302" s="228" t="s">
        <v>248</v>
      </c>
      <c r="AL1302" s="231" t="e">
        <f t="shared" si="1538"/>
        <v>#DIV/0!</v>
      </c>
      <c r="AN1302" s="228" t="s">
        <v>248</v>
      </c>
      <c r="AO1302" s="231" t="e">
        <f t="shared" ref="AO1302:AO1305" si="1548">AP1291/AO1280</f>
        <v>#DIV/0!</v>
      </c>
      <c r="AQ1302" s="228" t="s">
        <v>248</v>
      </c>
      <c r="AR1302" s="231" t="e">
        <f t="shared" ref="AR1302:AR1305" si="1549">AS1291/AR1280</f>
        <v>#DIV/0!</v>
      </c>
    </row>
    <row r="1303" spans="7:60">
      <c r="G1303" s="228" t="s">
        <v>88</v>
      </c>
      <c r="H1303" s="231">
        <f t="shared" si="1541"/>
        <v>1</v>
      </c>
      <c r="J1303" s="228" t="s">
        <v>88</v>
      </c>
      <c r="K1303" s="231">
        <f t="shared" si="1542"/>
        <v>1</v>
      </c>
      <c r="M1303" s="228" t="s">
        <v>88</v>
      </c>
      <c r="N1303" s="231" t="e">
        <f t="shared" si="1543"/>
        <v>#DIV/0!</v>
      </c>
      <c r="P1303" s="228" t="s">
        <v>88</v>
      </c>
      <c r="Q1303" s="231">
        <f t="shared" si="1544"/>
        <v>1</v>
      </c>
      <c r="S1303" s="228" t="s">
        <v>88</v>
      </c>
      <c r="T1303" s="231" t="e">
        <f t="shared" si="1545"/>
        <v>#DIV/0!</v>
      </c>
      <c r="V1303" s="228" t="s">
        <v>88</v>
      </c>
      <c r="W1303" s="231" t="e">
        <f t="shared" si="1546"/>
        <v>#DIV/0!</v>
      </c>
      <c r="Y1303" s="228" t="s">
        <v>88</v>
      </c>
      <c r="Z1303" s="231" t="e">
        <f t="shared" si="1547"/>
        <v>#DIV/0!</v>
      </c>
      <c r="AB1303" s="228" t="s">
        <v>88</v>
      </c>
      <c r="AC1303" s="231" t="e">
        <f t="shared" si="1537"/>
        <v>#DIV/0!</v>
      </c>
      <c r="AE1303" s="228" t="s">
        <v>88</v>
      </c>
      <c r="AF1303" s="231" t="e">
        <f>AG1292/AF1281</f>
        <v>#DIV/0!</v>
      </c>
      <c r="AH1303" s="228" t="s">
        <v>88</v>
      </c>
      <c r="AI1303" s="231" t="e">
        <f t="shared" si="1529"/>
        <v>#DIV/0!</v>
      </c>
      <c r="AK1303" s="228" t="s">
        <v>88</v>
      </c>
      <c r="AL1303" s="231" t="e">
        <f t="shared" si="1538"/>
        <v>#DIV/0!</v>
      </c>
      <c r="AN1303" s="228" t="s">
        <v>88</v>
      </c>
      <c r="AO1303" s="231" t="e">
        <f t="shared" si="1548"/>
        <v>#DIV/0!</v>
      </c>
      <c r="AQ1303" s="228" t="s">
        <v>88</v>
      </c>
      <c r="AR1303" s="231" t="e">
        <f t="shared" si="1549"/>
        <v>#DIV/0!</v>
      </c>
    </row>
    <row r="1304" spans="7:60">
      <c r="G1304" s="228" t="s">
        <v>249</v>
      </c>
      <c r="H1304" s="231" t="e">
        <f t="shared" si="1541"/>
        <v>#DIV/0!</v>
      </c>
      <c r="J1304" s="228" t="s">
        <v>249</v>
      </c>
      <c r="K1304" s="231" t="e">
        <f t="shared" si="1542"/>
        <v>#DIV/0!</v>
      </c>
      <c r="M1304" s="228" t="s">
        <v>249</v>
      </c>
      <c r="N1304" s="231" t="e">
        <f t="shared" si="1543"/>
        <v>#DIV/0!</v>
      </c>
      <c r="P1304" s="228" t="s">
        <v>249</v>
      </c>
      <c r="Q1304" s="231" t="e">
        <f t="shared" si="1544"/>
        <v>#DIV/0!</v>
      </c>
      <c r="S1304" s="228" t="s">
        <v>249</v>
      </c>
      <c r="T1304" s="231" t="e">
        <f t="shared" si="1545"/>
        <v>#DIV/0!</v>
      </c>
      <c r="V1304" s="228" t="s">
        <v>249</v>
      </c>
      <c r="W1304" s="231">
        <f t="shared" si="1546"/>
        <v>1</v>
      </c>
      <c r="Y1304" s="228" t="s">
        <v>249</v>
      </c>
      <c r="Z1304" s="231">
        <f t="shared" si="1547"/>
        <v>1</v>
      </c>
      <c r="AB1304" s="228" t="s">
        <v>249</v>
      </c>
      <c r="AC1304" s="231">
        <f t="shared" si="1537"/>
        <v>8.1263454642433411E-2</v>
      </c>
      <c r="AE1304" s="228" t="s">
        <v>249</v>
      </c>
      <c r="AF1304" s="231">
        <f t="shared" si="1528"/>
        <v>1.064815790028016</v>
      </c>
      <c r="AH1304" s="228" t="s">
        <v>249</v>
      </c>
      <c r="AI1304" s="231">
        <f t="shared" si="1529"/>
        <v>0</v>
      </c>
      <c r="AK1304" s="228" t="s">
        <v>249</v>
      </c>
      <c r="AL1304" s="231" t="e">
        <f t="shared" si="1538"/>
        <v>#DIV/0!</v>
      </c>
      <c r="AN1304" s="228" t="s">
        <v>249</v>
      </c>
      <c r="AO1304" s="231" t="e">
        <f t="shared" si="1548"/>
        <v>#DIV/0!</v>
      </c>
      <c r="AQ1304" s="228" t="s">
        <v>249</v>
      </c>
      <c r="AR1304" s="231" t="e">
        <f t="shared" si="1549"/>
        <v>#DIV/0!</v>
      </c>
    </row>
    <row r="1305" spans="7:60">
      <c r="G1305" s="228" t="s">
        <v>80</v>
      </c>
      <c r="H1305" s="231">
        <f t="shared" si="1541"/>
        <v>1</v>
      </c>
      <c r="J1305" s="228" t="s">
        <v>80</v>
      </c>
      <c r="K1305" s="231">
        <f t="shared" si="1542"/>
        <v>1</v>
      </c>
      <c r="M1305" s="228" t="s">
        <v>80</v>
      </c>
      <c r="N1305" s="231">
        <f t="shared" si="1543"/>
        <v>1</v>
      </c>
      <c r="P1305" s="228" t="s">
        <v>80</v>
      </c>
      <c r="Q1305" s="231">
        <f t="shared" si="1544"/>
        <v>1</v>
      </c>
      <c r="S1305" s="228" t="s">
        <v>80</v>
      </c>
      <c r="T1305" s="231">
        <f t="shared" si="1545"/>
        <v>1</v>
      </c>
      <c r="V1305" s="228" t="s">
        <v>80</v>
      </c>
      <c r="W1305" s="231">
        <f t="shared" si="1546"/>
        <v>1</v>
      </c>
      <c r="Y1305" s="228" t="s">
        <v>80</v>
      </c>
      <c r="Z1305" s="231">
        <f t="shared" si="1547"/>
        <v>1</v>
      </c>
      <c r="AB1305" s="228" t="s">
        <v>80</v>
      </c>
      <c r="AC1305" s="231">
        <f t="shared" si="1537"/>
        <v>1</v>
      </c>
      <c r="AE1305" s="228" t="s">
        <v>80</v>
      </c>
      <c r="AF1305" s="231">
        <f t="shared" si="1528"/>
        <v>1</v>
      </c>
      <c r="AH1305" s="228" t="s">
        <v>80</v>
      </c>
      <c r="AI1305" s="231">
        <f t="shared" si="1529"/>
        <v>0</v>
      </c>
      <c r="AK1305" s="228" t="s">
        <v>80</v>
      </c>
      <c r="AL1305" s="231">
        <f t="shared" si="1538"/>
        <v>0</v>
      </c>
      <c r="AN1305" s="228" t="s">
        <v>80</v>
      </c>
      <c r="AO1305" s="231">
        <f t="shared" si="1548"/>
        <v>0</v>
      </c>
      <c r="AQ1305" s="228" t="s">
        <v>80</v>
      </c>
      <c r="AR1305" s="231">
        <f t="shared" si="1549"/>
        <v>0</v>
      </c>
    </row>
    <row r="1307" spans="7:60" s="1" customFormat="1" ht="43.15">
      <c r="G1307" s="234" t="s">
        <v>173</v>
      </c>
      <c r="H1307" s="235" t="s">
        <v>174</v>
      </c>
      <c r="I1307" s="235" t="s">
        <v>175</v>
      </c>
      <c r="J1307" s="234" t="s">
        <v>173</v>
      </c>
      <c r="K1307" s="235" t="s">
        <v>174</v>
      </c>
      <c r="L1307" s="235" t="s">
        <v>175</v>
      </c>
      <c r="M1307" s="234" t="s">
        <v>173</v>
      </c>
      <c r="N1307" s="235" t="s">
        <v>174</v>
      </c>
      <c r="O1307" s="235" t="s">
        <v>175</v>
      </c>
      <c r="P1307" s="234" t="s">
        <v>173</v>
      </c>
      <c r="Q1307" s="235" t="s">
        <v>174</v>
      </c>
      <c r="R1307" s="235" t="s">
        <v>175</v>
      </c>
      <c r="S1307" s="234" t="s">
        <v>173</v>
      </c>
      <c r="T1307" s="235" t="s">
        <v>174</v>
      </c>
      <c r="U1307" s="235" t="s">
        <v>175</v>
      </c>
      <c r="V1307" s="234" t="s">
        <v>173</v>
      </c>
      <c r="W1307" s="235" t="s">
        <v>174</v>
      </c>
      <c r="X1307" s="235" t="s">
        <v>175</v>
      </c>
      <c r="Y1307" s="234" t="s">
        <v>173</v>
      </c>
      <c r="Z1307" s="235" t="s">
        <v>174</v>
      </c>
      <c r="AA1307" s="235" t="s">
        <v>175</v>
      </c>
      <c r="AB1307" s="234" t="s">
        <v>173</v>
      </c>
      <c r="AC1307" s="235" t="s">
        <v>174</v>
      </c>
      <c r="AD1307" s="235" t="s">
        <v>175</v>
      </c>
      <c r="AE1307" s="234" t="s">
        <v>173</v>
      </c>
      <c r="AF1307" s="235" t="s">
        <v>174</v>
      </c>
      <c r="AG1307" s="235" t="s">
        <v>175</v>
      </c>
      <c r="AH1307" s="234" t="s">
        <v>173</v>
      </c>
      <c r="AI1307" s="235" t="s">
        <v>174</v>
      </c>
      <c r="AJ1307" s="235" t="s">
        <v>175</v>
      </c>
      <c r="AK1307" s="234" t="s">
        <v>173</v>
      </c>
      <c r="AL1307" s="235" t="s">
        <v>174</v>
      </c>
      <c r="AM1307" s="236" t="s">
        <v>175</v>
      </c>
      <c r="AN1307" s="234" t="s">
        <v>173</v>
      </c>
      <c r="AO1307" s="235" t="s">
        <v>174</v>
      </c>
      <c r="AP1307" s="236" t="s">
        <v>175</v>
      </c>
      <c r="AQ1307" s="234" t="s">
        <v>173</v>
      </c>
      <c r="AR1307" s="235" t="s">
        <v>174</v>
      </c>
      <c r="AS1307" s="236" t="s">
        <v>175</v>
      </c>
      <c r="AU1307" s="228" t="s">
        <v>173</v>
      </c>
      <c r="AV1307" s="228" t="s">
        <v>588</v>
      </c>
      <c r="AW1307" s="228" t="s">
        <v>589</v>
      </c>
      <c r="AZ1307" s="228" t="s">
        <v>173</v>
      </c>
      <c r="BA1307" s="228" t="s">
        <v>590</v>
      </c>
      <c r="BB1307" s="228" t="s">
        <v>175</v>
      </c>
    </row>
    <row r="1308" spans="7:60">
      <c r="G1308" s="237" t="s">
        <v>177</v>
      </c>
      <c r="H1308" s="56">
        <f>SUM(G108:G116,G130:G138,G141:G149,G163:G171,G918:G926,G940:G948,G1013:G1021)</f>
        <v>8291977</v>
      </c>
      <c r="I1308" s="171">
        <f>H1308/$H$1313</f>
        <v>0.51787656528969539</v>
      </c>
      <c r="J1308" s="237" t="s">
        <v>177</v>
      </c>
      <c r="K1308" s="56">
        <f>SUM(J108:J116,J257:J265,J896:J904)</f>
        <v>1290715</v>
      </c>
      <c r="L1308" s="171">
        <f>K1308/$K$1313</f>
        <v>0.12980735191654449</v>
      </c>
      <c r="M1308" s="237" t="s">
        <v>177</v>
      </c>
      <c r="N1308" s="56">
        <f>SUM(M130:M138,M163:M171,M199:M207,M896:M904,M918:M926)</f>
        <v>15356000</v>
      </c>
      <c r="O1308" s="171">
        <f>N1308/$N$1313</f>
        <v>0.66955458225872211</v>
      </c>
      <c r="P1308" s="237" t="s">
        <v>177</v>
      </c>
      <c r="Q1308" s="56">
        <f>SUM(P367:P375,P896:P904,P940:P948)</f>
        <v>2404308</v>
      </c>
      <c r="R1308" s="171">
        <f>Q1308/$Q$1313</f>
        <v>0.22825271857928037</v>
      </c>
      <c r="S1308" s="237" t="s">
        <v>177</v>
      </c>
      <c r="T1308" s="56">
        <f>SUM(S7:S16,S108:S116,S185:S196,S593:S601,S770:S778,S849:S857,S1035:S1043)</f>
        <v>4623806</v>
      </c>
      <c r="U1308" s="171">
        <f>T1308/$T$1313</f>
        <v>0.59293292780354012</v>
      </c>
      <c r="V1308" s="237" t="s">
        <v>177</v>
      </c>
      <c r="W1308" s="56">
        <f>SUM(V593:V601,V770:V778,V896:V904)</f>
        <v>2519700</v>
      </c>
      <c r="X1308" s="171">
        <f>W1308/$W$1313</f>
        <v>0.20142283807392858</v>
      </c>
      <c r="Y1308" s="237" t="s">
        <v>177</v>
      </c>
      <c r="Z1308" s="56">
        <f>SUM(Y199:Y207,Y345:Y353,Y367:Y375,Y593:Y601,Y896:Y904)</f>
        <v>11222000</v>
      </c>
      <c r="AA1308" s="171">
        <f>Z1308/$Z$1313</f>
        <v>0.65940835639969853</v>
      </c>
      <c r="AB1308" s="237" t="s">
        <v>177</v>
      </c>
      <c r="AC1308" s="56">
        <f>SUM(AB97:AB105,AB163:AB171,AB174:AB182,AB593:AB601,AB637:AB645,AB648:AB656,AB659:AB667,AB681:AB689,AB703:AB711,AB736:AB744,AB770:AB778,AB827:AB835,AB918:AB926)-AB598</f>
        <v>1977089</v>
      </c>
      <c r="AD1308" s="171">
        <f>AC1308/$AC$1313</f>
        <v>0.10663209935830537</v>
      </c>
      <c r="AE1308" s="237" t="s">
        <v>177</v>
      </c>
      <c r="AF1308" s="56">
        <f>SUM(AE130:AE138,AE163:AE171,AE199:AE207,AE648:AE656,AE659:AE667,AE736:AE744,AE918:AE926,AE670:AE678,AE637:AE645,AE367:AE375,AE290:AE298)</f>
        <v>1610000</v>
      </c>
      <c r="AG1308" s="171">
        <f>AF1308/$AF$1313</f>
        <v>0.12514411004970941</v>
      </c>
      <c r="AH1308" s="237" t="s">
        <v>177</v>
      </c>
      <c r="AI1308" s="56">
        <f>SUM(AH130:AH138,AH163:AH171,AH199:AH207,AH648:AH656,AH659:AH667,AH736:AH744,AH918:AH926,AH670:AH678,AH637:AH645,AH367:AH375,AH290:AH298)</f>
        <v>53596524</v>
      </c>
      <c r="AJ1308" s="171">
        <f>AI1308/$AI$1313</f>
        <v>0.35638152715119475</v>
      </c>
      <c r="AK1308" s="237" t="s">
        <v>177</v>
      </c>
      <c r="AL1308" s="56">
        <f>SUM(AK130:AK138,AK163:AK171,AK199:AK207,AK648:AK656,AK659:AK667,AK736:AK744,AK918:AK926,AK670:AK678,AK637:AK645,AK367:AK375,AK290:AK298)</f>
        <v>24161600</v>
      </c>
      <c r="AM1308" s="256">
        <f>AL1308/$AL$1313</f>
        <v>0.59695705971470558</v>
      </c>
      <c r="AN1308" s="237" t="s">
        <v>177</v>
      </c>
      <c r="AO1308" s="56">
        <f>SUM(AN130:AN138,AN163:AN171,AN199:AN207,AN648:AN656,AN659:AN667,AN736:AN744,AN918:AN926,AN670:AN678,AN637:AN645,AN367:AN375,AN290:AN298)</f>
        <v>17688889</v>
      </c>
      <c r="AP1308" s="256">
        <f>AO1308/$AL$1313</f>
        <v>0.43703675116961616</v>
      </c>
      <c r="AQ1308" s="237" t="s">
        <v>177</v>
      </c>
      <c r="AR1308" s="56">
        <f>SUM(AQ130:AQ138,AQ163:AQ171,AQ199:AQ207,AQ648:AQ656,AQ659:AQ667,AQ736:AQ744,AQ918:AQ926,AQ670:AQ678,AQ637:AQ645,AQ367:AQ375,AQ290:AQ298)</f>
        <v>0</v>
      </c>
      <c r="AS1308" s="256">
        <f>AR1308/$AL$1313</f>
        <v>0</v>
      </c>
      <c r="AU1308" s="145" t="s">
        <v>177</v>
      </c>
      <c r="AV1308" s="144">
        <f>SUM(H1308,K1308,N1308,Q1308,T1308,W1308,Z1308,AC1308,AF1308,AI1308,AL1308,AO1308,AR1308)</f>
        <v>144742608</v>
      </c>
      <c r="AW1308" s="231">
        <f>AV1308/$AV$1313</f>
        <v>0.41290376262485989</v>
      </c>
      <c r="AX1308" s="171"/>
      <c r="AZ1308" s="145" t="s">
        <v>177</v>
      </c>
      <c r="BA1308" s="144">
        <f>AV1308+'KY - TA'!AV287+'KY - CRP'!AB166</f>
        <v>144742608</v>
      </c>
      <c r="BB1308" s="231">
        <f>BA1308/$BA$1313</f>
        <v>0.37942705758840062</v>
      </c>
    </row>
    <row r="1309" spans="7:60">
      <c r="G1309" s="237" t="s">
        <v>178</v>
      </c>
      <c r="H1309" s="56">
        <f>SUM(G97:G105,G174:G182,G301:G309,G356:G364,G929:G937)</f>
        <v>4210000</v>
      </c>
      <c r="I1309" s="171">
        <f t="shared" ref="I1309:I1312" si="1550">H1309/$H$1313</f>
        <v>0.26293612969134111</v>
      </c>
      <c r="J1309" s="237" t="s">
        <v>178</v>
      </c>
      <c r="K1309" s="56">
        <f>SUM(J301:J309,J356:J364,J804:J813)</f>
        <v>4909104</v>
      </c>
      <c r="L1309" s="171">
        <f t="shared" ref="L1309:L1312" si="1551">K1309/$K$1313</f>
        <v>0.49370913836355534</v>
      </c>
      <c r="M1309" s="237" t="s">
        <v>178</v>
      </c>
      <c r="N1309" s="56">
        <f>SUM(M63:M72,M290:M298,M301:M309,M356:M364)</f>
        <v>5577411</v>
      </c>
      <c r="O1309" s="171">
        <f t="shared" ref="O1309:O1312" si="1552">N1309/$N$1313</f>
        <v>0.24318709899649657</v>
      </c>
      <c r="P1309" s="237" t="s">
        <v>178</v>
      </c>
      <c r="Q1309" s="56">
        <f>SUM(P75:P83,P174:P182,P301:P309,P356:P364,P389:P397,P804:P813)</f>
        <v>3606659</v>
      </c>
      <c r="R1309" s="171">
        <f t="shared" ref="R1309:R1312" si="1553">Q1309/$Q$1313</f>
        <v>0.34239778004250238</v>
      </c>
      <c r="S1309" s="237" t="s">
        <v>178</v>
      </c>
      <c r="T1309" s="56">
        <f>SUM(S174:S182,S356:S364,S792:S801,S804:S813)</f>
        <v>930450</v>
      </c>
      <c r="U1309" s="171">
        <f t="shared" ref="U1309:U1312" si="1554">T1309/$T$1313</f>
        <v>0.11931608780186798</v>
      </c>
      <c r="V1309" s="237" t="s">
        <v>178</v>
      </c>
      <c r="W1309" s="56">
        <f>SUM(V75:V83,V63:V72,V356:V364,V804:V813,V1105:V1114)</f>
        <v>7968459</v>
      </c>
      <c r="X1309" s="171">
        <f t="shared" ref="X1309:X1311" si="1555">W1309/$W$1313</f>
        <v>0.63699235101628726</v>
      </c>
      <c r="Y1309" s="237" t="s">
        <v>178</v>
      </c>
      <c r="Z1309" s="56">
        <f>SUM(Y389:Y397,Y571:Y579,Y582:Y590,Y626:Y634,Y792:Y801)</f>
        <v>1713172</v>
      </c>
      <c r="AA1309" s="171">
        <f t="shared" ref="AA1309:AA1312" si="1556">Z1309/$Z$1313</f>
        <v>0.1006665418597384</v>
      </c>
      <c r="AB1309" s="237" t="s">
        <v>178</v>
      </c>
      <c r="AC1309" s="56">
        <f>SUM(AB221:AB229,AB290:AB298,AB389:AB397,AB450:AB458,AB692:AB700,AB758:AB767,AB1105:AB1114)</f>
        <v>7009799</v>
      </c>
      <c r="AD1309" s="171">
        <f t="shared" ref="AD1309:AD1312" si="1557">AC1309/$AC$1313</f>
        <v>0.37806572362182461</v>
      </c>
      <c r="AE1309" s="237" t="s">
        <v>178</v>
      </c>
      <c r="AF1309" s="56">
        <f>SUM(AE75:AE83,AE221:AE229,AE450:AE458,AE714:AE722,AE725:AE733,AE1105:AE1114,AE827:AE835,AE792:AE801,AE770:AE778,AE758:AE767,AE703:AE711,AE681:AE689,AE1057:AE1066,AE747:AE755,AE626:AE634,AE593:AE601,AE174:AE182,AE97:AE105)</f>
        <v>4048800</v>
      </c>
      <c r="AG1309" s="171">
        <f t="shared" ref="AG1309:AG1312" si="1558">AF1309/$AF$1313</f>
        <v>0.31471023153370403</v>
      </c>
      <c r="AH1309" s="237" t="s">
        <v>178</v>
      </c>
      <c r="AI1309" s="56">
        <f>SUM(AH75:AH83,AH221:AH229,AH450:AH458,AH714:AH722,AH725:AH733,AH1105:AH1114,AH827:AH835,AH792:AH801,AH770:AH778,AH758:AH767,AH703:AH711,AH681:AH689,AH1057:AH1066,AH747:AH755,AH626:AH634,AH593:AH601,AH174:AH182,AH97:AH105,AH692:AH700)</f>
        <v>77579181</v>
      </c>
      <c r="AJ1309" s="171">
        <f t="shared" ref="AJ1309:AJ1312" si="1559">AI1309/$AI$1313</f>
        <v>0.51585037492205565</v>
      </c>
      <c r="AK1309" s="237" t="s">
        <v>178</v>
      </c>
      <c r="AL1309" s="56">
        <f>SUM(AK75:AK83,AK221:AK229,AK450:AK458,AK714:AK722,AK725:AK733,AK1105:AK1114,AK827:AK835,AK792:AK801,AK770:AK778,AK758:AK767,AK703:AK711,AK681:AK689,AK1057:AK1066,AK747:AK755,AK626:AK634,AK593:AK601,AK174:AK182,AK97:AK105,AK692:AK700)</f>
        <v>10352125</v>
      </c>
      <c r="AM1309" s="256">
        <f t="shared" ref="AM1309:AM1312" si="1560">AL1309/$AL$1313</f>
        <v>0.2557684135901222</v>
      </c>
      <c r="AN1309" s="237" t="s">
        <v>178</v>
      </c>
      <c r="AO1309" s="56">
        <f>SUM(AN75:AN83,AN221:AN229,AN450:AN458,AN714:AN722,AN725:AN733,AN1105:AN1114,AN827:AN835,AN792:AN801,AN770:AN778,AN758:AN767,AN703:AN711,AN681:AN689,AN1057:AN1066,AN747:AN755,AN626:AN634,AN593:AN601,AN174:AN182,AN97:AN105,AN692:AN700)</f>
        <v>1408000</v>
      </c>
      <c r="AP1309" s="256">
        <f t="shared" ref="AP1309:AP1312" si="1561">AO1309/$AL$1313</f>
        <v>3.4787246708757096E-2</v>
      </c>
      <c r="AQ1309" s="237" t="s">
        <v>178</v>
      </c>
      <c r="AR1309" s="56">
        <f>SUM(AQ75:AQ83,AQ221:AQ229,AQ450:AQ458,AQ714:AQ722,AQ725:AQ733,AQ1105:AQ1114,AQ827:AQ835,AQ792:AQ801,AQ770:AQ778,AQ758:AQ767,AQ703:AQ711,AQ681:AQ689,AQ1057:AQ1066,AQ747:AQ755,AQ626:AQ634,AQ593:AQ601,AQ174:AQ182,AQ97:AQ105,AQ692:AQ700)</f>
        <v>5936000</v>
      </c>
      <c r="AS1309" s="256">
        <f t="shared" ref="AS1309:AS1312" si="1562">AR1309/$AL$1313</f>
        <v>0.14665986964714639</v>
      </c>
      <c r="AU1309" s="145" t="s">
        <v>178</v>
      </c>
      <c r="AV1309" s="144">
        <f t="shared" ref="AV1309:AV1312" si="1563">SUM(H1309,K1309,N1309,Q1309,T1309,W1309,Z1309,AC1309,AF1309,AI1309,AL1309,AO1309,AR1309)</f>
        <v>135249160</v>
      </c>
      <c r="AW1309" s="231">
        <f t="shared" ref="AW1309:AW1312" si="1564">AV1309/$AV$1313</f>
        <v>0.38582203144945199</v>
      </c>
      <c r="AX1309" s="171"/>
      <c r="AZ1309" s="145" t="s">
        <v>178</v>
      </c>
      <c r="BA1309" s="144">
        <f>AV1309+'KY - TA'!AV288+'KY - CRP'!AB167</f>
        <v>138775138</v>
      </c>
      <c r="BB1309" s="231">
        <f t="shared" ref="BB1309:BB1312" si="1565">BA1309/$BA$1313</f>
        <v>0.36378398182354321</v>
      </c>
    </row>
    <row r="1310" spans="7:60">
      <c r="G1310" s="237" t="s">
        <v>179</v>
      </c>
      <c r="H1310" s="56">
        <f>SUM(G323:G331,G400:G408,G439:G447,G604:G612,G816:G822,G838:G846,G885:G893,G991:G999)</f>
        <v>2025516</v>
      </c>
      <c r="I1310" s="171">
        <f t="shared" si="1550"/>
        <v>0.12650388068120819</v>
      </c>
      <c r="J1310" s="237" t="s">
        <v>179</v>
      </c>
      <c r="K1310" s="56">
        <f>SUM(J119:J127,J152:J160,J461:J469,J1002:J1010)</f>
        <v>786193</v>
      </c>
      <c r="L1310" s="171">
        <f t="shared" si="1551"/>
        <v>7.9067517945730761E-2</v>
      </c>
      <c r="M1310" s="237" t="s">
        <v>179</v>
      </c>
      <c r="N1310" s="56">
        <f>SUM(M152:M160,M781:M789,M838:M846,M874:M882,M991:M999)</f>
        <v>788924</v>
      </c>
      <c r="O1310" s="171">
        <f t="shared" si="1552"/>
        <v>3.4398780883946344E-2</v>
      </c>
      <c r="P1310" s="237" t="s">
        <v>179</v>
      </c>
      <c r="Q1310" s="56">
        <f>SUM(P323:P331,P400:P408,P439:P447,P604:P612,P951:P960)</f>
        <v>2405353</v>
      </c>
      <c r="R1310" s="171">
        <f t="shared" si="1553"/>
        <v>0.22835192554066608</v>
      </c>
      <c r="S1310" s="237" t="s">
        <v>179</v>
      </c>
      <c r="T1310" s="56">
        <f>SUM(S119:S127,S268:S276,S781:S789,S907:S915)</f>
        <v>777000</v>
      </c>
      <c r="U1310" s="171">
        <f t="shared" si="1554"/>
        <v>9.9638454749907485E-2</v>
      </c>
      <c r="V1310" s="237" t="s">
        <v>179</v>
      </c>
      <c r="W1310" s="56">
        <f>SUM(V1002:V1010)</f>
        <v>520000</v>
      </c>
      <c r="X1310" s="171">
        <f t="shared" si="1555"/>
        <v>4.1568391395183105E-2</v>
      </c>
      <c r="Y1310" s="237" t="s">
        <v>179</v>
      </c>
      <c r="Z1310" s="56">
        <f>SUM(Y268:Y276,Y483:Y491,Y549:Y557,Y560:Y568,Y907:Y915,Y1117:Y1125,Y1159:Y1167)</f>
        <v>2581768</v>
      </c>
      <c r="AA1310" s="171">
        <f t="shared" si="1556"/>
        <v>0.15170552428135242</v>
      </c>
      <c r="AB1310" s="237" t="s">
        <v>179</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7" t="s">
        <v>179</v>
      </c>
      <c r="AF1310" s="56">
        <f>SUM(AE52:AE60,AE472:AE480,AE615:AE623,AE907:AE915,AE951:AE960,AE1159:AE1167,AE1093:AE1102,AE781:AE789,AE560:AE568,AE549:AE557,AE538:AE546,AE527:AE535,AE516:AE524,AE505:AE513,AE494:AE502,AE483:AE491,AE461:AE469,AE268:AE276,AE210:AE218,AE41:AE49,AE19:AE27)</f>
        <v>5509368</v>
      </c>
      <c r="AG1310" s="171">
        <f t="shared" si="1558"/>
        <v>0.42823910266853882</v>
      </c>
      <c r="AH1310" s="237" t="s">
        <v>179</v>
      </c>
      <c r="AI1310" s="56">
        <f>SUM(AH52:AH60,AH472:AH480,AH615:AH623,AH907:AH915,AH951:AH960,AH1159:AH1167,AH1093:AH1102,AH781:AH789,AH560:AH568,AH549:AH557,AH538:AH546,AH527:AH535,AH516:AH524,AH505:AH513,AH494:AH502,AH483:AH491,AH461:AH469,AH268:AH276,AH210:AH218,AH41:AH49,AH19:AH27)</f>
        <v>17868614</v>
      </c>
      <c r="AJ1310" s="171">
        <f t="shared" si="1559"/>
        <v>0.1188144952347137</v>
      </c>
      <c r="AK1310" s="237" t="s">
        <v>179</v>
      </c>
      <c r="AL1310" s="56">
        <f>SUM(AK52:AK60,AK472:AK480,AK615:AK623,AK907:AK915,AK951:AK960,AK1159:AK1167,AK1093:AK1102,AK781:AK789,AK560:AK568,AK549:AK557,AK538:AK546,AK527:AK535,AK516:AK524,AK505:AK513,AK494:AK502,AK483:AK491,AK461:AK469,AK268:AK276,AK210:AK218,AK41:AK49,AK19:AK27)</f>
        <v>3594408</v>
      </c>
      <c r="AM1310" s="256">
        <f t="shared" si="1560"/>
        <v>8.880650416756404E-2</v>
      </c>
      <c r="AN1310" s="237" t="s">
        <v>179</v>
      </c>
      <c r="AO1310" s="56">
        <f>SUM(AN52:AN60,AN472:AN480,AN615:AN623,AN907:AN915,AN951:AN960,AN1159:AN1167,AN1093:AN1102,AN781:AN789,AN560:AN568,AN549:AN557,AN538:AN546,AN527:AN535,AN516:AN524,AN505:AN513,AN494:AN502,AN483:AN491,AN461:AN469,AN268:AN276,AN210:AN218,AN41:AN49,AN19:AN27)</f>
        <v>500000</v>
      </c>
      <c r="AP1310" s="256">
        <f t="shared" si="1561"/>
        <v>1.2353425677825672E-2</v>
      </c>
      <c r="AQ1310" s="237" t="s">
        <v>179</v>
      </c>
      <c r="AR1310" s="56">
        <f>SUM(AQ52:AQ60,AQ472:AQ480,AQ615:AQ623,AQ907:AQ915,AQ951:AQ960,AQ1159:AQ1167,AQ1093:AQ1102,AQ781:AQ789,AQ560:AQ568,AQ549:AQ557,AQ538:AQ546,AQ527:AQ535,AQ516:AQ524,AQ505:AQ513,AQ494:AQ502,AQ483:AQ491,AQ461:AQ469,AQ268:AQ276,AQ210:AQ218,AQ41:AQ49,AQ19:AQ27)</f>
        <v>3200000</v>
      </c>
      <c r="AS1310" s="256">
        <f t="shared" si="1562"/>
        <v>7.9061924338084302E-2</v>
      </c>
      <c r="AU1310" s="145" t="s">
        <v>179</v>
      </c>
      <c r="AV1310" s="144">
        <f t="shared" si="1563"/>
        <v>48586501</v>
      </c>
      <c r="AW1310" s="231">
        <f t="shared" si="1564"/>
        <v>0.13860154485869508</v>
      </c>
      <c r="AX1310" s="171"/>
      <c r="AZ1310" s="145" t="s">
        <v>179</v>
      </c>
      <c r="BA1310" s="144">
        <f>AV1310+'KY - TA'!AV289+'KY - CRP'!AB168</f>
        <v>75787358</v>
      </c>
      <c r="BB1310" s="231">
        <f t="shared" si="1565"/>
        <v>0.19866834407418399</v>
      </c>
    </row>
    <row r="1311" spans="7:60">
      <c r="G1311" s="237" t="s">
        <v>180</v>
      </c>
      <c r="H1311" s="56">
        <f>SUM(G279:G287)</f>
        <v>354000</v>
      </c>
      <c r="I1311" s="171">
        <f t="shared" si="1550"/>
        <v>2.2109118743642457E-2</v>
      </c>
      <c r="J1311" s="237" t="s">
        <v>180</v>
      </c>
      <c r="K1311" s="56">
        <f>SUM(J312:J320,J1024:J1032,J1046:J1054)</f>
        <v>1776800</v>
      </c>
      <c r="L1311" s="171">
        <f t="shared" si="1551"/>
        <v>0.17869297473517878</v>
      </c>
      <c r="M1311" s="237" t="s">
        <v>180</v>
      </c>
      <c r="O1311" s="171">
        <f t="shared" si="1552"/>
        <v>0</v>
      </c>
      <c r="P1311" s="237" t="s">
        <v>180</v>
      </c>
      <c r="Q1311" s="56">
        <f>SUM(P1024:P1032,P1046:P1054)</f>
        <v>883683</v>
      </c>
      <c r="R1311" s="171">
        <f t="shared" si="1553"/>
        <v>8.3892349529384014E-2</v>
      </c>
      <c r="S1311" s="237" t="s">
        <v>180</v>
      </c>
      <c r="U1311" s="171">
        <f t="shared" si="1554"/>
        <v>0</v>
      </c>
      <c r="V1311" s="237" t="s">
        <v>180</v>
      </c>
      <c r="X1311" s="171">
        <f t="shared" si="1555"/>
        <v>0</v>
      </c>
      <c r="Y1311" s="237" t="s">
        <v>180</v>
      </c>
      <c r="AA1311" s="171">
        <f t="shared" si="1556"/>
        <v>0</v>
      </c>
      <c r="AB1311" s="237" t="s">
        <v>180</v>
      </c>
      <c r="AD1311" s="171">
        <f t="shared" si="1557"/>
        <v>0</v>
      </c>
      <c r="AE1311" s="237" t="s">
        <v>180</v>
      </c>
      <c r="AF1311" s="56">
        <f>SUM(AE1069:AE1078,AE1081:AE1090)</f>
        <v>400000</v>
      </c>
      <c r="AG1311" s="171">
        <f t="shared" si="1558"/>
        <v>3.1091704360176251E-2</v>
      </c>
      <c r="AH1311" s="237" t="s">
        <v>180</v>
      </c>
      <c r="AI1311">
        <f>SUM(AH1069:AH1078,AH1081:AH1090)</f>
        <v>0</v>
      </c>
      <c r="AJ1311" s="171">
        <f t="shared" si="1559"/>
        <v>0</v>
      </c>
      <c r="AK1311" s="237" t="s">
        <v>180</v>
      </c>
      <c r="AL1311">
        <f>SUM(AK1069:AK1078,AK1081:AK1090)</f>
        <v>1000000</v>
      </c>
      <c r="AM1311" s="256">
        <f t="shared" si="1560"/>
        <v>2.4706851355651344E-2</v>
      </c>
      <c r="AN1311" s="237" t="s">
        <v>180</v>
      </c>
      <c r="AO1311">
        <f>SUM(AN1069:AN1078,AN1081:AN1090)</f>
        <v>0</v>
      </c>
      <c r="AP1311" s="256">
        <f t="shared" si="1561"/>
        <v>0</v>
      </c>
      <c r="AQ1311" s="237" t="s">
        <v>180</v>
      </c>
      <c r="AR1311">
        <f>SUM(AQ1069:AQ1078,AQ1081:AQ1090)</f>
        <v>0</v>
      </c>
      <c r="AS1311" s="256">
        <f t="shared" si="1562"/>
        <v>0</v>
      </c>
      <c r="AU1311" s="145" t="s">
        <v>180</v>
      </c>
      <c r="AV1311" s="144">
        <f>SUM(H1311,K1311,N1311,Q1311,T1311,W1311,Z1311,AC1311,AF1311,AI1311,AL1311,AO1311,AR1311)</f>
        <v>4414483</v>
      </c>
      <c r="AW1311" s="231">
        <f t="shared" si="1564"/>
        <v>1.2593089663988087E-2</v>
      </c>
      <c r="AX1311" s="171"/>
      <c r="AZ1311" s="145" t="s">
        <v>180</v>
      </c>
      <c r="BA1311" s="144">
        <f>AV1311+'KY - TA'!AV290+'KY - CRP'!AB169</f>
        <v>4616369</v>
      </c>
      <c r="BB1311" s="231">
        <f t="shared" si="1565"/>
        <v>1.2101310945097157E-2</v>
      </c>
    </row>
    <row r="1312" spans="7:60">
      <c r="G1312" s="239" t="s">
        <v>41</v>
      </c>
      <c r="H1312" s="241">
        <f>SUM(G86:G94,G232:G240)</f>
        <v>1130000</v>
      </c>
      <c r="I1312" s="171">
        <f t="shared" si="1550"/>
        <v>7.0574305594112929E-2</v>
      </c>
      <c r="J1312" s="239" t="s">
        <v>41</v>
      </c>
      <c r="K1312" s="241">
        <f>SUM(J86:J94,J232:J240)</f>
        <v>1180500</v>
      </c>
      <c r="L1312" s="171">
        <f t="shared" si="1551"/>
        <v>0.11872301703899063</v>
      </c>
      <c r="M1312" s="239" t="s">
        <v>41</v>
      </c>
      <c r="N1312" s="241">
        <f>SUM(M86:M94,M232:M240)</f>
        <v>1212315</v>
      </c>
      <c r="O1312" s="171">
        <f t="shared" si="1552"/>
        <v>5.2859537860835026E-2</v>
      </c>
      <c r="P1312" s="239" t="s">
        <v>41</v>
      </c>
      <c r="Q1312" s="241">
        <f>SUM(P86:P94,P232:P240)</f>
        <v>1233532</v>
      </c>
      <c r="R1312" s="171">
        <f t="shared" si="1553"/>
        <v>0.11710522630816721</v>
      </c>
      <c r="S1312" s="239" t="s">
        <v>41</v>
      </c>
      <c r="T1312" s="241">
        <f>SUM(S86:S94,S232:S240,S378:S386)</f>
        <v>1466938</v>
      </c>
      <c r="U1312" s="171">
        <f t="shared" si="1554"/>
        <v>0.18811252964468439</v>
      </c>
      <c r="V1312" s="239" t="s">
        <v>41</v>
      </c>
      <c r="W1312" s="241">
        <f>SUM(V86:V94,V232:V240,V378:V386)</f>
        <v>1501346</v>
      </c>
      <c r="X1312" s="171">
        <f>W1312/$W$1313</f>
        <v>0.1200164195146011</v>
      </c>
      <c r="Y1312" s="239" t="s">
        <v>41</v>
      </c>
      <c r="Z1312" s="241">
        <f>SUM(Y86:Y94,Y232:Y240,Y378:Y386)</f>
        <v>1501346</v>
      </c>
      <c r="AA1312" s="171">
        <f t="shared" si="1556"/>
        <v>8.8219577459210635E-2</v>
      </c>
      <c r="AB1312" s="239" t="s">
        <v>41</v>
      </c>
      <c r="AC1312" s="241">
        <f>SUM(AB86:AB94,AB232:AB240,AB378:AB386)</f>
        <v>1524973</v>
      </c>
      <c r="AD1312" s="171">
        <f t="shared" si="1557"/>
        <v>8.224772504158033E-2</v>
      </c>
      <c r="AE1312" s="239" t="s">
        <v>41</v>
      </c>
      <c r="AF1312" s="241">
        <f>SUM(AE86:AE94,AE232:AE240,AE378:AE386)</f>
        <v>1297000</v>
      </c>
      <c r="AG1312" s="171">
        <f t="shared" si="1558"/>
        <v>0.1008148513878715</v>
      </c>
      <c r="AH1312" s="239" t="s">
        <v>41</v>
      </c>
      <c r="AI1312" s="241">
        <f>SUM(AH86:AH94,AH232:AH240,AH378:AH386)</f>
        <v>1346540</v>
      </c>
      <c r="AJ1312" s="171">
        <f t="shared" si="1559"/>
        <v>8.9536026920359561E-3</v>
      </c>
      <c r="AK1312" s="239" t="s">
        <v>41</v>
      </c>
      <c r="AL1312" s="241">
        <f>SUM(AK86:AK94,AK232:AK240,AK378:AK386)</f>
        <v>1366470</v>
      </c>
      <c r="AM1312" s="256">
        <f t="shared" si="1560"/>
        <v>3.3761171171956893E-2</v>
      </c>
      <c r="AN1312" s="239" t="s">
        <v>41</v>
      </c>
      <c r="AO1312" s="241">
        <f>SUM(AN86:AN94,AN232:AN240,AN378:AN386)</f>
        <v>1386800</v>
      </c>
      <c r="AP1312" s="256">
        <f t="shared" si="1561"/>
        <v>3.4263461460017283E-2</v>
      </c>
      <c r="AQ1312" s="239" t="s">
        <v>41</v>
      </c>
      <c r="AR1312" s="241">
        <f>SUM(AQ86:AQ94,AQ232:AQ240,AQ378:AQ386)</f>
        <v>1407536</v>
      </c>
      <c r="AS1312" s="256">
        <f t="shared" si="1562"/>
        <v>3.4775782729728075E-2</v>
      </c>
      <c r="AU1312" s="145" t="s">
        <v>41</v>
      </c>
      <c r="AV1312" s="144">
        <f t="shared" si="1563"/>
        <v>17555296</v>
      </c>
      <c r="AW1312" s="231">
        <f t="shared" si="1564"/>
        <v>5.0079571403004931E-2</v>
      </c>
      <c r="AX1312" s="171"/>
      <c r="AZ1312" s="265" t="s">
        <v>41</v>
      </c>
      <c r="BA1312" s="244">
        <f>AV1312+'KY - TA'!AV291+'KY - CRP'!AB170</f>
        <v>17555296</v>
      </c>
      <c r="BB1312" s="261">
        <f t="shared" si="1565"/>
        <v>4.6019305568775017E-2</v>
      </c>
    </row>
    <row r="1313" spans="7:54">
      <c r="G1313" t="s">
        <v>181</v>
      </c>
      <c r="H1313" s="56">
        <f>SUM(H1308:H1312)</f>
        <v>16011493</v>
      </c>
      <c r="I1313" s="171">
        <f>SUM(I1308:I1312)</f>
        <v>1</v>
      </c>
      <c r="J1313" t="s">
        <v>181</v>
      </c>
      <c r="K1313" s="56">
        <f>SUM(K1308:K1312)</f>
        <v>9943312</v>
      </c>
      <c r="L1313" s="171">
        <f>SUM(L1308:L1312)</f>
        <v>1</v>
      </c>
      <c r="M1313" t="s">
        <v>181</v>
      </c>
      <c r="N1313" s="56">
        <f>SUM(N1308:N1312)</f>
        <v>22934650</v>
      </c>
      <c r="O1313" s="171">
        <f>SUM(O1308:O1312)</f>
        <v>1</v>
      </c>
      <c r="P1313" t="s">
        <v>181</v>
      </c>
      <c r="Q1313" s="56">
        <f>SUM(Q1308:Q1312)</f>
        <v>10533535</v>
      </c>
      <c r="R1313" s="171">
        <f>SUM(R1308:R1312)</f>
        <v>1</v>
      </c>
      <c r="S1313" t="s">
        <v>181</v>
      </c>
      <c r="T1313" s="56">
        <f>SUM(T1308:T1312)</f>
        <v>7798194</v>
      </c>
      <c r="U1313" s="171">
        <f>SUM(U1308:U1312)</f>
        <v>1</v>
      </c>
      <c r="V1313" t="s">
        <v>181</v>
      </c>
      <c r="W1313" s="56">
        <f>SUM(W1308:W1312)</f>
        <v>12509505</v>
      </c>
      <c r="X1313" s="171">
        <f>SUM(X1308:X1312)</f>
        <v>1</v>
      </c>
      <c r="Y1313" t="s">
        <v>181</v>
      </c>
      <c r="Z1313" s="56">
        <f>SUM(Z1308:Z1312)</f>
        <v>17018286</v>
      </c>
      <c r="AA1313" s="171">
        <f>SUM(AA1308:AA1312)</f>
        <v>1</v>
      </c>
      <c r="AB1313" t="s">
        <v>181</v>
      </c>
      <c r="AC1313" s="56">
        <f>SUM(AC1308:AC1312)</f>
        <v>18541218</v>
      </c>
      <c r="AD1313" s="171">
        <f>SUM(AD1308:AD1312)</f>
        <v>1</v>
      </c>
      <c r="AE1313" t="s">
        <v>181</v>
      </c>
      <c r="AF1313" s="56">
        <f>SUM(AF1308:AF1312)</f>
        <v>12865168</v>
      </c>
      <c r="AG1313" s="171">
        <f>SUM(AG1308:AG1312)</f>
        <v>1</v>
      </c>
      <c r="AH1313" t="s">
        <v>181</v>
      </c>
      <c r="AI1313" s="56">
        <f>SUM(AI1308:AI1312)</f>
        <v>150390859</v>
      </c>
      <c r="AJ1313" s="171">
        <f>SUM(AJ1308:AJ1312)</f>
        <v>1</v>
      </c>
      <c r="AK1313" t="s">
        <v>181</v>
      </c>
      <c r="AL1313" s="56">
        <f>SUM(AL1308:AL1312)</f>
        <v>40474603</v>
      </c>
      <c r="AM1313" s="171">
        <f>SUM(AM1308:AM1312)</f>
        <v>1</v>
      </c>
      <c r="AN1313" t="s">
        <v>181</v>
      </c>
      <c r="AO1313" s="56">
        <f>SUM(AO1308:AO1312)</f>
        <v>20983689</v>
      </c>
      <c r="AP1313" s="171">
        <f>SUM(AP1308:AP1312)</f>
        <v>0.51844088501621621</v>
      </c>
      <c r="AQ1313" t="s">
        <v>181</v>
      </c>
      <c r="AR1313" s="56">
        <f>SUM(AR1308:AR1312)</f>
        <v>10543536</v>
      </c>
      <c r="AS1313" s="171">
        <f>SUM(AS1308:AS1312)</f>
        <v>0.26049757671495877</v>
      </c>
      <c r="AU1313" s="145" t="s">
        <v>181</v>
      </c>
      <c r="AV1313" s="144">
        <f>SUM(AV1308:AV1312)</f>
        <v>350548048</v>
      </c>
      <c r="AW1313" s="231">
        <f>SUM(AW1308:AW1312)</f>
        <v>1</v>
      </c>
      <c r="AX1313" s="171"/>
      <c r="AZ1313" s="251" t="s">
        <v>181</v>
      </c>
      <c r="BA1313" s="262">
        <f>SUM(BA1308:BA1312)</f>
        <v>381476769</v>
      </c>
      <c r="BB1313" s="263">
        <f>SUM(BB1308:BB1312)</f>
        <v>0.99999999999999989</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1"/>
      <c r="AX1314" s="171"/>
    </row>
    <row r="1315" spans="7:54" s="1" customFormat="1" ht="60.75">
      <c r="G1315" s="234" t="s">
        <v>173</v>
      </c>
      <c r="H1315" s="235" t="s">
        <v>182</v>
      </c>
      <c r="I1315" s="236" t="s">
        <v>591</v>
      </c>
      <c r="J1315" s="234" t="s">
        <v>173</v>
      </c>
      <c r="K1315" s="235" t="s">
        <v>182</v>
      </c>
      <c r="L1315" s="236" t="s">
        <v>591</v>
      </c>
      <c r="M1315" s="234" t="s">
        <v>173</v>
      </c>
      <c r="N1315" s="235" t="s">
        <v>182</v>
      </c>
      <c r="O1315" s="236" t="s">
        <v>591</v>
      </c>
      <c r="P1315" s="234" t="s">
        <v>173</v>
      </c>
      <c r="Q1315" s="235" t="s">
        <v>182</v>
      </c>
      <c r="R1315" s="236" t="s">
        <v>591</v>
      </c>
      <c r="S1315" s="234" t="s">
        <v>173</v>
      </c>
      <c r="T1315" s="235" t="s">
        <v>182</v>
      </c>
      <c r="U1315" s="236" t="s">
        <v>591</v>
      </c>
      <c r="V1315" s="234" t="s">
        <v>173</v>
      </c>
      <c r="W1315" s="235" t="s">
        <v>182</v>
      </c>
      <c r="X1315" s="236" t="s">
        <v>591</v>
      </c>
      <c r="Y1315" s="234" t="s">
        <v>173</v>
      </c>
      <c r="Z1315" s="235" t="s">
        <v>182</v>
      </c>
      <c r="AA1315" s="236" t="s">
        <v>591</v>
      </c>
      <c r="AB1315" s="234" t="s">
        <v>173</v>
      </c>
      <c r="AC1315" s="235" t="s">
        <v>182</v>
      </c>
      <c r="AD1315" s="236" t="s">
        <v>591</v>
      </c>
      <c r="AE1315" s="235" t="s">
        <v>173</v>
      </c>
      <c r="AF1315" s="235" t="s">
        <v>182</v>
      </c>
      <c r="AG1315" s="236" t="s">
        <v>591</v>
      </c>
      <c r="AH1315" s="235" t="s">
        <v>173</v>
      </c>
      <c r="AI1315" s="235" t="s">
        <v>182</v>
      </c>
      <c r="AJ1315" s="236" t="s">
        <v>591</v>
      </c>
      <c r="AK1315" s="235" t="s">
        <v>173</v>
      </c>
      <c r="AL1315" s="235" t="s">
        <v>182</v>
      </c>
      <c r="AM1315" s="236" t="s">
        <v>591</v>
      </c>
      <c r="AN1315" s="235" t="s">
        <v>173</v>
      </c>
      <c r="AO1315" s="235" t="s">
        <v>182</v>
      </c>
      <c r="AP1315" s="236" t="s">
        <v>591</v>
      </c>
      <c r="AQ1315" s="235" t="s">
        <v>173</v>
      </c>
      <c r="AR1315" s="235" t="s">
        <v>182</v>
      </c>
      <c r="AS1315" s="236" t="s">
        <v>591</v>
      </c>
      <c r="AU1315" s="228" t="s">
        <v>173</v>
      </c>
      <c r="AV1315" s="228" t="s">
        <v>592</v>
      </c>
      <c r="AW1315" s="228" t="s">
        <v>591</v>
      </c>
      <c r="AZ1315" s="228" t="s">
        <v>173</v>
      </c>
      <c r="BA1315" s="228" t="s">
        <v>593</v>
      </c>
      <c r="BB1315" s="228" t="s">
        <v>183</v>
      </c>
    </row>
    <row r="1316" spans="7:54">
      <c r="G1316" s="237" t="s">
        <v>177</v>
      </c>
      <c r="H1316">
        <v>7</v>
      </c>
      <c r="I1316" s="256">
        <f>H1316/$H$1321</f>
        <v>0.30434782608695654</v>
      </c>
      <c r="J1316" s="237" t="s">
        <v>177</v>
      </c>
      <c r="K1316">
        <v>3</v>
      </c>
      <c r="L1316" s="256">
        <f>K1316/$K$1321</f>
        <v>0.2</v>
      </c>
      <c r="M1316" s="237" t="s">
        <v>177</v>
      </c>
      <c r="N1316">
        <v>5</v>
      </c>
      <c r="O1316" s="256">
        <f>N1316/$N$1321</f>
        <v>0.3125</v>
      </c>
      <c r="P1316" s="237" t="s">
        <v>177</v>
      </c>
      <c r="Q1316">
        <v>3</v>
      </c>
      <c r="R1316" s="256">
        <f>Q1316/$Q$1321</f>
        <v>0.16666666666666666</v>
      </c>
      <c r="S1316" s="237" t="s">
        <v>177</v>
      </c>
      <c r="T1316">
        <v>7</v>
      </c>
      <c r="U1316" s="256">
        <f>T1316/$T$1321</f>
        <v>0.3888888888888889</v>
      </c>
      <c r="V1316" s="237" t="s">
        <v>177</v>
      </c>
      <c r="W1316">
        <v>3</v>
      </c>
      <c r="X1316" s="256">
        <f>W1316/$W$1321</f>
        <v>0.25</v>
      </c>
      <c r="Y1316" s="237" t="s">
        <v>177</v>
      </c>
      <c r="Z1316">
        <v>5</v>
      </c>
      <c r="AA1316" s="238">
        <f>Z1316/$Z$1321</f>
        <v>0.25</v>
      </c>
      <c r="AB1316" s="237" t="s">
        <v>177</v>
      </c>
      <c r="AC1316">
        <v>13</v>
      </c>
      <c r="AD1316" s="256">
        <f>AC1316/$AC$1321</f>
        <v>0.30952380952380953</v>
      </c>
      <c r="AE1316" s="237" t="s">
        <v>177</v>
      </c>
      <c r="AF1316">
        <v>13</v>
      </c>
      <c r="AG1316" s="256">
        <f>AF1316/$AF$1321</f>
        <v>0.35135135135135137</v>
      </c>
      <c r="AH1316" s="237" t="s">
        <v>177</v>
      </c>
      <c r="AI1316">
        <v>4</v>
      </c>
      <c r="AJ1316" s="256">
        <f>AI1316/$AI$1321</f>
        <v>0.14814814814814814</v>
      </c>
      <c r="AK1316" s="237" t="s">
        <v>177</v>
      </c>
      <c r="AL1316">
        <v>2</v>
      </c>
      <c r="AM1316" s="256">
        <f>AL1316/$AL$1321</f>
        <v>0.16666666666666666</v>
      </c>
      <c r="AN1316" s="237" t="s">
        <v>177</v>
      </c>
      <c r="AO1316">
        <v>1</v>
      </c>
      <c r="AP1316" s="256">
        <f>AO1316/$AL$1321</f>
        <v>8.3333333333333329E-2</v>
      </c>
      <c r="AQ1316" s="237" t="s">
        <v>177</v>
      </c>
      <c r="AS1316" s="256">
        <f>AR1316/$AL$1321</f>
        <v>0</v>
      </c>
      <c r="AU1316" s="145" t="s">
        <v>177</v>
      </c>
      <c r="AV1316" s="144">
        <f>SUM(H1316,K1316,N1316,Q1316,T1316,W1316,Z1316,AC1316,AF1316,AI1316,AL1316,AO1316,AR1316)</f>
        <v>66</v>
      </c>
      <c r="AW1316" s="231">
        <f>AV1316/$AV$1321</f>
        <v>0.2608695652173913</v>
      </c>
      <c r="AX1316" s="171"/>
      <c r="AZ1316" s="145" t="s">
        <v>177</v>
      </c>
      <c r="BA1316" s="145">
        <f>AV1316+'KY - TA'!AV295+'KY - CRP'!AB174</f>
        <v>66</v>
      </c>
      <c r="BB1316" s="231">
        <f>BA1316/$BA$1321</f>
        <v>0.20496894409937888</v>
      </c>
    </row>
    <row r="1317" spans="7:54">
      <c r="G1317" s="237" t="s">
        <v>178</v>
      </c>
      <c r="H1317">
        <v>5</v>
      </c>
      <c r="I1317" s="256">
        <f t="shared" ref="I1317:I1320" si="1566">H1317/$H$1321</f>
        <v>0.21739130434782608</v>
      </c>
      <c r="J1317" s="237" t="s">
        <v>178</v>
      </c>
      <c r="K1317">
        <v>3</v>
      </c>
      <c r="L1317" s="256">
        <f t="shared" ref="L1317:L1320" si="1567">K1317/$K$1321</f>
        <v>0.2</v>
      </c>
      <c r="M1317" s="237" t="s">
        <v>178</v>
      </c>
      <c r="N1317">
        <v>4</v>
      </c>
      <c r="O1317" s="256">
        <f t="shared" ref="O1317:O1320" si="1568">N1317/$N$1321</f>
        <v>0.25</v>
      </c>
      <c r="P1317" s="237" t="s">
        <v>178</v>
      </c>
      <c r="Q1317">
        <v>6</v>
      </c>
      <c r="R1317" s="256">
        <f t="shared" ref="R1317:R1320" si="1569">Q1317/$Q$1321</f>
        <v>0.33333333333333331</v>
      </c>
      <c r="S1317" s="237" t="s">
        <v>178</v>
      </c>
      <c r="T1317">
        <v>4</v>
      </c>
      <c r="U1317" s="256">
        <f t="shared" ref="U1317:U1320" si="1570">T1317/$T$1321</f>
        <v>0.22222222222222221</v>
      </c>
      <c r="V1317" s="237" t="s">
        <v>178</v>
      </c>
      <c r="W1317">
        <v>5</v>
      </c>
      <c r="X1317" s="256">
        <f t="shared" ref="X1317:X1320" si="1571">W1317/$W$1321</f>
        <v>0.41666666666666669</v>
      </c>
      <c r="Y1317" s="237" t="s">
        <v>178</v>
      </c>
      <c r="Z1317">
        <v>5</v>
      </c>
      <c r="AA1317" s="238">
        <f t="shared" ref="AA1317:AA1320" si="1572">Z1317/$Z$1321</f>
        <v>0.25</v>
      </c>
      <c r="AB1317" s="237" t="s">
        <v>178</v>
      </c>
      <c r="AC1317">
        <v>6</v>
      </c>
      <c r="AD1317" s="256">
        <f t="shared" ref="AD1317:AD1320" si="1573">AC1317/$AC$1321</f>
        <v>0.14285714285714285</v>
      </c>
      <c r="AE1317" s="237" t="s">
        <v>178</v>
      </c>
      <c r="AF1317">
        <v>14</v>
      </c>
      <c r="AG1317" s="256">
        <f t="shared" ref="AG1317:AG1320" si="1574">AF1317/$AF$1321</f>
        <v>0.3783783783783784</v>
      </c>
      <c r="AH1317" s="237" t="s">
        <v>178</v>
      </c>
      <c r="AI1317">
        <v>11</v>
      </c>
      <c r="AJ1317" s="256">
        <f t="shared" ref="AJ1317:AJ1320" si="1575">AI1317/$AI$1321</f>
        <v>0.40740740740740738</v>
      </c>
      <c r="AK1317" s="237" t="s">
        <v>178</v>
      </c>
      <c r="AL1317">
        <v>4</v>
      </c>
      <c r="AM1317" s="256">
        <f t="shared" ref="AM1317:AM1320" si="1576">AL1317/$AL$1321</f>
        <v>0.33333333333333331</v>
      </c>
      <c r="AN1317" s="237" t="s">
        <v>178</v>
      </c>
      <c r="AO1317">
        <v>2</v>
      </c>
      <c r="AP1317" s="256">
        <f t="shared" ref="AP1317:AP1320" si="1577">AO1317/$AL$1321</f>
        <v>0.16666666666666666</v>
      </c>
      <c r="AQ1317" s="237" t="s">
        <v>178</v>
      </c>
      <c r="AR1317">
        <v>3</v>
      </c>
      <c r="AS1317" s="256">
        <f t="shared" ref="AS1317:AS1320" si="1578">AR1317/$AL$1321</f>
        <v>0.25</v>
      </c>
      <c r="AU1317" s="145" t="s">
        <v>178</v>
      </c>
      <c r="AV1317" s="144">
        <f t="shared" ref="AV1317:AV1320" si="1579">SUM(H1317,K1317,N1317,Q1317,T1317,W1317,Z1317,AC1317,AF1317,AI1317,AL1317,AO1317,AR1317)</f>
        <v>72</v>
      </c>
      <c r="AW1317" s="231">
        <f t="shared" ref="AW1317:AW1320" si="1580">AV1317/$AV$1321</f>
        <v>0.28458498023715417</v>
      </c>
      <c r="AX1317" s="171"/>
      <c r="AZ1317" s="145" t="s">
        <v>178</v>
      </c>
      <c r="BA1317" s="145">
        <f>AV1317+'KY - TA'!AV296+'KY - CRP'!AB175</f>
        <v>78</v>
      </c>
      <c r="BB1317" s="231">
        <f t="shared" ref="BB1317:BB1320" si="1581">BA1317/$BA$1321</f>
        <v>0.24223602484472051</v>
      </c>
    </row>
    <row r="1318" spans="7:54">
      <c r="G1318" s="237" t="s">
        <v>179</v>
      </c>
      <c r="H1318">
        <v>8</v>
      </c>
      <c r="I1318" s="256">
        <f t="shared" si="1566"/>
        <v>0.34782608695652173</v>
      </c>
      <c r="J1318" s="237" t="s">
        <v>179</v>
      </c>
      <c r="K1318">
        <v>4</v>
      </c>
      <c r="L1318" s="256">
        <f t="shared" si="1567"/>
        <v>0.26666666666666666</v>
      </c>
      <c r="M1318" s="237" t="s">
        <v>179</v>
      </c>
      <c r="N1318">
        <v>5</v>
      </c>
      <c r="O1318" s="256">
        <f t="shared" si="1568"/>
        <v>0.3125</v>
      </c>
      <c r="P1318" s="237" t="s">
        <v>179</v>
      </c>
      <c r="Q1318">
        <v>5</v>
      </c>
      <c r="R1318" s="256">
        <f t="shared" si="1569"/>
        <v>0.27777777777777779</v>
      </c>
      <c r="S1318" s="237" t="s">
        <v>179</v>
      </c>
      <c r="T1318">
        <v>4</v>
      </c>
      <c r="U1318" s="256">
        <f t="shared" si="1570"/>
        <v>0.22222222222222221</v>
      </c>
      <c r="V1318" s="237" t="s">
        <v>179</v>
      </c>
      <c r="W1318">
        <v>1</v>
      </c>
      <c r="X1318" s="256">
        <f t="shared" si="1571"/>
        <v>8.3333333333333329E-2</v>
      </c>
      <c r="Y1318" s="237" t="s">
        <v>179</v>
      </c>
      <c r="Z1318">
        <v>7</v>
      </c>
      <c r="AA1318" s="238">
        <f t="shared" si="1572"/>
        <v>0.35</v>
      </c>
      <c r="AB1318" s="237" t="s">
        <v>179</v>
      </c>
      <c r="AC1318">
        <v>20</v>
      </c>
      <c r="AD1318" s="256">
        <f t="shared" si="1573"/>
        <v>0.47619047619047616</v>
      </c>
      <c r="AE1318" s="237" t="s">
        <v>179</v>
      </c>
      <c r="AF1318">
        <v>5</v>
      </c>
      <c r="AG1318" s="256">
        <f t="shared" si="1574"/>
        <v>0.13513513513513514</v>
      </c>
      <c r="AH1318" s="237" t="s">
        <v>179</v>
      </c>
      <c r="AI1318">
        <v>9</v>
      </c>
      <c r="AJ1318" s="256">
        <f t="shared" si="1575"/>
        <v>0.33333333333333331</v>
      </c>
      <c r="AK1318" s="237" t="s">
        <v>179</v>
      </c>
      <c r="AL1318">
        <v>3</v>
      </c>
      <c r="AM1318" s="256">
        <f t="shared" si="1576"/>
        <v>0.25</v>
      </c>
      <c r="AN1318" s="237" t="s">
        <v>179</v>
      </c>
      <c r="AO1318">
        <v>1</v>
      </c>
      <c r="AP1318" s="256">
        <f t="shared" si="1577"/>
        <v>8.3333333333333329E-2</v>
      </c>
      <c r="AQ1318" s="237" t="s">
        <v>179</v>
      </c>
      <c r="AS1318" s="256">
        <f t="shared" si="1578"/>
        <v>0</v>
      </c>
      <c r="AU1318" s="145" t="s">
        <v>179</v>
      </c>
      <c r="AV1318" s="144">
        <f>SUM(H1318,K1318,N1318,Q1318,T1318,W1318,Z1318,AC1318,AF1318,AI1318,AL1318,AO1318,AR1318)</f>
        <v>72</v>
      </c>
      <c r="AW1318" s="231">
        <f t="shared" si="1580"/>
        <v>0.28458498023715417</v>
      </c>
      <c r="AX1318" s="171"/>
      <c r="AZ1318" s="145" t="s">
        <v>179</v>
      </c>
      <c r="BA1318" s="145">
        <f>AV1318+'KY - TA'!AV297+'KY - CRP'!AB176</f>
        <v>130</v>
      </c>
      <c r="BB1318" s="231">
        <f t="shared" si="1581"/>
        <v>0.40372670807453415</v>
      </c>
    </row>
    <row r="1319" spans="7:54">
      <c r="G1319" s="237" t="s">
        <v>180</v>
      </c>
      <c r="H1319">
        <v>1</v>
      </c>
      <c r="I1319" s="256">
        <f t="shared" si="1566"/>
        <v>4.3478260869565216E-2</v>
      </c>
      <c r="J1319" s="237" t="s">
        <v>180</v>
      </c>
      <c r="K1319">
        <v>3</v>
      </c>
      <c r="L1319" s="256">
        <f t="shared" si="1567"/>
        <v>0.2</v>
      </c>
      <c r="M1319" s="237" t="s">
        <v>180</v>
      </c>
      <c r="O1319" s="256">
        <f t="shared" si="1568"/>
        <v>0</v>
      </c>
      <c r="P1319" s="237" t="s">
        <v>180</v>
      </c>
      <c r="Q1319">
        <v>2</v>
      </c>
      <c r="R1319" s="256">
        <f t="shared" si="1569"/>
        <v>0.1111111111111111</v>
      </c>
      <c r="S1319" s="237" t="s">
        <v>180</v>
      </c>
      <c r="U1319" s="256">
        <f t="shared" si="1570"/>
        <v>0</v>
      </c>
      <c r="V1319" s="237" t="s">
        <v>180</v>
      </c>
      <c r="X1319" s="256">
        <f t="shared" si="1571"/>
        <v>0</v>
      </c>
      <c r="Y1319" s="237" t="s">
        <v>180</v>
      </c>
      <c r="AA1319" s="238">
        <f t="shared" si="1572"/>
        <v>0</v>
      </c>
      <c r="AB1319" s="237" t="s">
        <v>180</v>
      </c>
      <c r="AD1319" s="256">
        <f t="shared" si="1573"/>
        <v>0</v>
      </c>
      <c r="AE1319" t="s">
        <v>180</v>
      </c>
      <c r="AF1319">
        <v>2</v>
      </c>
      <c r="AG1319" s="256">
        <f t="shared" si="1574"/>
        <v>5.4054054054054057E-2</v>
      </c>
      <c r="AH1319" t="s">
        <v>180</v>
      </c>
      <c r="AJ1319" s="256">
        <f t="shared" si="1575"/>
        <v>0</v>
      </c>
      <c r="AK1319" t="s">
        <v>180</v>
      </c>
      <c r="AM1319" s="256">
        <f t="shared" si="1576"/>
        <v>0</v>
      </c>
      <c r="AN1319" t="s">
        <v>180</v>
      </c>
      <c r="AP1319" s="256">
        <f t="shared" si="1577"/>
        <v>0</v>
      </c>
      <c r="AQ1319" t="s">
        <v>180</v>
      </c>
      <c r="AS1319" s="256">
        <f t="shared" si="1578"/>
        <v>0</v>
      </c>
      <c r="AU1319" s="145" t="s">
        <v>180</v>
      </c>
      <c r="AV1319" s="144">
        <f>SUM(H1319,K1319,N1319,Q1319,T1319,W1319,Z1319,AC1319,AF1319,AI1319,AL1319,AO1319,AR1319)</f>
        <v>8</v>
      </c>
      <c r="AW1319" s="231">
        <f t="shared" si="1580"/>
        <v>3.1620553359683792E-2</v>
      </c>
      <c r="AX1319" s="171"/>
      <c r="AZ1319" s="145" t="s">
        <v>180</v>
      </c>
      <c r="BA1319" s="145">
        <f>AV1319+'KY - TA'!AV298+'KY - CRP'!AB177</f>
        <v>13</v>
      </c>
      <c r="BB1319" s="231">
        <f t="shared" si="1581"/>
        <v>4.0372670807453416E-2</v>
      </c>
    </row>
    <row r="1320" spans="7:54">
      <c r="G1320" s="239" t="s">
        <v>41</v>
      </c>
      <c r="H1320" s="240">
        <v>2</v>
      </c>
      <c r="I1320" s="256">
        <f t="shared" si="1566"/>
        <v>8.6956521739130432E-2</v>
      </c>
      <c r="J1320" s="239" t="s">
        <v>41</v>
      </c>
      <c r="K1320" s="240">
        <v>2</v>
      </c>
      <c r="L1320" s="256">
        <f t="shared" si="1567"/>
        <v>0.13333333333333333</v>
      </c>
      <c r="M1320" s="239" t="s">
        <v>41</v>
      </c>
      <c r="N1320" s="240">
        <v>2</v>
      </c>
      <c r="O1320" s="256">
        <f t="shared" si="1568"/>
        <v>0.125</v>
      </c>
      <c r="P1320" s="239" t="s">
        <v>41</v>
      </c>
      <c r="Q1320" s="240">
        <v>2</v>
      </c>
      <c r="R1320" s="256">
        <f t="shared" si="1569"/>
        <v>0.1111111111111111</v>
      </c>
      <c r="S1320" s="239" t="s">
        <v>41</v>
      </c>
      <c r="T1320" s="240">
        <v>3</v>
      </c>
      <c r="U1320" s="256">
        <f t="shared" si="1570"/>
        <v>0.16666666666666666</v>
      </c>
      <c r="V1320" s="239" t="s">
        <v>41</v>
      </c>
      <c r="W1320" s="240">
        <v>3</v>
      </c>
      <c r="X1320" s="256">
        <f t="shared" si="1571"/>
        <v>0.25</v>
      </c>
      <c r="Y1320" s="239" t="s">
        <v>41</v>
      </c>
      <c r="Z1320" s="240">
        <v>3</v>
      </c>
      <c r="AA1320" s="238">
        <f t="shared" si="1572"/>
        <v>0.15</v>
      </c>
      <c r="AB1320" s="239" t="s">
        <v>41</v>
      </c>
      <c r="AC1320" s="240">
        <v>3</v>
      </c>
      <c r="AD1320" s="256">
        <f t="shared" si="1573"/>
        <v>7.1428571428571425E-2</v>
      </c>
      <c r="AE1320" s="240" t="s">
        <v>41</v>
      </c>
      <c r="AF1320" s="240">
        <v>3</v>
      </c>
      <c r="AG1320" s="256">
        <f t="shared" si="1574"/>
        <v>8.1081081081081086E-2</v>
      </c>
      <c r="AH1320" s="240" t="s">
        <v>41</v>
      </c>
      <c r="AI1320" s="240">
        <v>3</v>
      </c>
      <c r="AJ1320" s="256">
        <f t="shared" si="1575"/>
        <v>0.1111111111111111</v>
      </c>
      <c r="AK1320" s="240" t="s">
        <v>41</v>
      </c>
      <c r="AL1320" s="240">
        <v>3</v>
      </c>
      <c r="AM1320" s="256">
        <f t="shared" si="1576"/>
        <v>0.25</v>
      </c>
      <c r="AN1320" s="240" t="s">
        <v>41</v>
      </c>
      <c r="AO1320" s="240">
        <v>3</v>
      </c>
      <c r="AP1320" s="256">
        <f t="shared" si="1577"/>
        <v>0.25</v>
      </c>
      <c r="AQ1320" s="240" t="s">
        <v>41</v>
      </c>
      <c r="AR1320" s="240">
        <v>3</v>
      </c>
      <c r="AS1320" s="256">
        <f t="shared" si="1578"/>
        <v>0.25</v>
      </c>
      <c r="AU1320" s="145" t="s">
        <v>41</v>
      </c>
      <c r="AV1320" s="144">
        <f t="shared" si="1579"/>
        <v>35</v>
      </c>
      <c r="AW1320" s="231">
        <f t="shared" si="1580"/>
        <v>0.13833992094861661</v>
      </c>
      <c r="AX1320" s="171"/>
      <c r="AZ1320" s="265" t="s">
        <v>41</v>
      </c>
      <c r="BA1320" s="265">
        <f>AV1320+'KY - TA'!AV299+'KY - CRP'!AB178</f>
        <v>35</v>
      </c>
      <c r="BB1320" s="261">
        <f t="shared" si="1581"/>
        <v>0.10869565217391304</v>
      </c>
    </row>
    <row r="1321" spans="7:54">
      <c r="G1321" t="s">
        <v>181</v>
      </c>
      <c r="H1321">
        <f>SUM(H1316:H1320)</f>
        <v>23</v>
      </c>
      <c r="I1321" s="171">
        <f>SUM(I1316:I1320)</f>
        <v>1</v>
      </c>
      <c r="J1321" t="s">
        <v>181</v>
      </c>
      <c r="K1321">
        <f>SUM(K1316:K1320)</f>
        <v>15</v>
      </c>
      <c r="L1321" s="171">
        <f>SUM(L1316:L1320)</f>
        <v>1</v>
      </c>
      <c r="M1321" t="s">
        <v>181</v>
      </c>
      <c r="N1321">
        <f>SUM(N1316:N1320)</f>
        <v>16</v>
      </c>
      <c r="O1321" s="171">
        <f>SUM(O1316:O1320)</f>
        <v>1</v>
      </c>
      <c r="P1321" t="s">
        <v>181</v>
      </c>
      <c r="Q1321">
        <f>SUM(Q1316:Q1320)</f>
        <v>18</v>
      </c>
      <c r="R1321" s="171">
        <f>SUM(R1316:R1320)</f>
        <v>1</v>
      </c>
      <c r="S1321" t="s">
        <v>181</v>
      </c>
      <c r="T1321">
        <f>SUM(T1316:T1320)</f>
        <v>18</v>
      </c>
      <c r="U1321" s="171">
        <f>SUM(U1316:U1320)</f>
        <v>1</v>
      </c>
      <c r="V1321" t="s">
        <v>181</v>
      </c>
      <c r="W1321">
        <f>SUM(W1316:W1320)</f>
        <v>12</v>
      </c>
      <c r="X1321" s="256">
        <f>SUM(X1316:X1320)</f>
        <v>1</v>
      </c>
      <c r="Y1321" t="s">
        <v>181</v>
      </c>
      <c r="Z1321">
        <f>SUM(Z1316:Z1320)</f>
        <v>20</v>
      </c>
      <c r="AA1321">
        <f>SUM(AA1316:AA1320)</f>
        <v>1</v>
      </c>
      <c r="AB1321" t="s">
        <v>181</v>
      </c>
      <c r="AC1321">
        <f>SUM(AC1316:AC1320)</f>
        <v>42</v>
      </c>
      <c r="AD1321" s="171">
        <f>SUM(AD1316:AD1320)</f>
        <v>1</v>
      </c>
      <c r="AE1321" t="s">
        <v>181</v>
      </c>
      <c r="AF1321">
        <f>SUM(AF1316:AF1320)</f>
        <v>37</v>
      </c>
      <c r="AG1321" s="171">
        <f>SUM(AG1316:AG1320)</f>
        <v>1</v>
      </c>
      <c r="AH1321" t="s">
        <v>181</v>
      </c>
      <c r="AI1321">
        <f>SUM(AI1316:AI1320)</f>
        <v>27</v>
      </c>
      <c r="AJ1321" s="171">
        <f>SUM(AJ1316:AJ1320)</f>
        <v>1</v>
      </c>
      <c r="AK1321" t="s">
        <v>181</v>
      </c>
      <c r="AL1321">
        <f>SUM(AL1316:AL1320)</f>
        <v>12</v>
      </c>
      <c r="AM1321" s="171">
        <f>SUM(AM1316:AM1320)</f>
        <v>1</v>
      </c>
      <c r="AN1321" t="s">
        <v>181</v>
      </c>
      <c r="AO1321">
        <f>SUM(AO1316:AO1320)</f>
        <v>7</v>
      </c>
      <c r="AP1321" s="171">
        <f>SUM(AP1316:AP1320)</f>
        <v>0.58333333333333326</v>
      </c>
      <c r="AQ1321" t="s">
        <v>181</v>
      </c>
      <c r="AR1321">
        <f>SUM(AR1316:AR1320)</f>
        <v>6</v>
      </c>
      <c r="AS1321" s="171">
        <f>SUM(AS1316:AS1320)</f>
        <v>0.5</v>
      </c>
      <c r="AU1321" s="145" t="s">
        <v>181</v>
      </c>
      <c r="AV1321" s="144">
        <f>SUM(AV1316:AV1320)</f>
        <v>253</v>
      </c>
      <c r="AW1321" s="231">
        <f>SUM(AW1316:AW1320)</f>
        <v>1</v>
      </c>
      <c r="AX1321" s="171"/>
      <c r="AZ1321" s="251" t="s">
        <v>181</v>
      </c>
      <c r="BA1321" s="267">
        <f>SUM(BA1316:BA1320)</f>
        <v>322</v>
      </c>
      <c r="BB1321" s="263">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4" t="s">
        <v>185</v>
      </c>
      <c r="H1323" s="235" t="s">
        <v>186</v>
      </c>
      <c r="I1323" s="235" t="s">
        <v>187</v>
      </c>
      <c r="J1323" s="234" t="s">
        <v>185</v>
      </c>
      <c r="K1323" s="235" t="s">
        <v>186</v>
      </c>
      <c r="L1323" s="235" t="s">
        <v>187</v>
      </c>
      <c r="M1323" s="234" t="s">
        <v>185</v>
      </c>
      <c r="N1323" s="235" t="s">
        <v>186</v>
      </c>
      <c r="O1323" s="235" t="s">
        <v>187</v>
      </c>
      <c r="P1323" s="234" t="s">
        <v>185</v>
      </c>
      <c r="Q1323" s="235" t="s">
        <v>186</v>
      </c>
      <c r="R1323" s="235" t="s">
        <v>187</v>
      </c>
      <c r="S1323" s="234" t="s">
        <v>185</v>
      </c>
      <c r="T1323" s="235" t="s">
        <v>186</v>
      </c>
      <c r="U1323" s="235" t="s">
        <v>187</v>
      </c>
      <c r="V1323" s="234" t="s">
        <v>185</v>
      </c>
      <c r="W1323" s="235" t="s">
        <v>186</v>
      </c>
      <c r="X1323" s="235" t="s">
        <v>187</v>
      </c>
      <c r="Y1323" s="234" t="s">
        <v>185</v>
      </c>
      <c r="Z1323" s="235" t="s">
        <v>186</v>
      </c>
      <c r="AA1323" s="235" t="s">
        <v>187</v>
      </c>
      <c r="AB1323" s="234" t="s">
        <v>185</v>
      </c>
      <c r="AC1323" s="235" t="s">
        <v>186</v>
      </c>
      <c r="AD1323" s="235" t="s">
        <v>187</v>
      </c>
      <c r="AE1323" s="234" t="s">
        <v>185</v>
      </c>
      <c r="AF1323" s="235" t="s">
        <v>186</v>
      </c>
      <c r="AG1323" s="235" t="s">
        <v>187</v>
      </c>
      <c r="AH1323" s="234" t="s">
        <v>185</v>
      </c>
      <c r="AI1323" s="235" t="s">
        <v>186</v>
      </c>
      <c r="AJ1323" s="235" t="s">
        <v>187</v>
      </c>
      <c r="AK1323" s="234" t="s">
        <v>185</v>
      </c>
      <c r="AL1323" s="235" t="s">
        <v>186</v>
      </c>
      <c r="AM1323" s="236" t="s">
        <v>187</v>
      </c>
      <c r="AN1323" s="234" t="s">
        <v>185</v>
      </c>
      <c r="AO1323" s="235" t="s">
        <v>186</v>
      </c>
      <c r="AP1323" s="236" t="s">
        <v>187</v>
      </c>
      <c r="AQ1323" s="234" t="s">
        <v>185</v>
      </c>
      <c r="AR1323" s="235" t="s">
        <v>186</v>
      </c>
      <c r="AS1323" s="236" t="s">
        <v>187</v>
      </c>
      <c r="AU1323" s="234" t="s">
        <v>185</v>
      </c>
      <c r="AV1323" s="235" t="s">
        <v>594</v>
      </c>
      <c r="AW1323" s="236" t="s">
        <v>595</v>
      </c>
      <c r="AZ1323" s="234" t="s">
        <v>185</v>
      </c>
      <c r="BA1323" s="235" t="s">
        <v>596</v>
      </c>
      <c r="BB1323" s="236" t="s">
        <v>187</v>
      </c>
    </row>
    <row r="1324" spans="7:54">
      <c r="G1324" s="239">
        <v>5</v>
      </c>
      <c r="H1324" s="241">
        <f>G1018+G930+G821+(G303/2)+(G279/2)+(G238/2)+(G92/2)</f>
        <v>4384878</v>
      </c>
      <c r="I1324" s="285">
        <f>H1324/H1313</f>
        <v>0.27385815926097584</v>
      </c>
      <c r="J1324" s="239">
        <v>3.5</v>
      </c>
      <c r="K1324" s="241">
        <f>(J1051/2)+(J312/2)+(J306/2)+J262+(J238/2)+(J92/2)</f>
        <v>3891250</v>
      </c>
      <c r="L1324" s="285">
        <f>K1324/K1313</f>
        <v>0.39134344773652885</v>
      </c>
      <c r="M1324" s="239">
        <v>1.5</v>
      </c>
      <c r="N1324" s="241">
        <f>(M306/2)+(M238/2)+(M92/2)</f>
        <v>1156157.5</v>
      </c>
      <c r="O1324" s="285">
        <f>N1324/N1313</f>
        <v>5.041095024340899E-2</v>
      </c>
      <c r="P1324" s="239">
        <v>3</v>
      </c>
      <c r="Q1324" s="241">
        <f>(P1051/2)+P391+(P306/2)+(P238/2)+(P92/2)</f>
        <v>1841766</v>
      </c>
      <c r="R1324" s="285">
        <f>Q1324/Q1313</f>
        <v>0.1748478549698653</v>
      </c>
      <c r="S1324" s="239">
        <v>4</v>
      </c>
      <c r="T1324" s="241">
        <f>S772+S598+(S238/2)+(S92/2)</f>
        <v>3768269</v>
      </c>
      <c r="U1324" s="285">
        <f>T1324/T1313</f>
        <v>0.48322329503472217</v>
      </c>
      <c r="V1324" s="239">
        <v>4</v>
      </c>
      <c r="W1324" s="241">
        <f>V1107+V1108+V773+V598+(V238/2)+(V92/2)</f>
        <v>3417568</v>
      </c>
      <c r="X1324" s="285">
        <f>W1324/W1313</f>
        <v>0.27319770046856373</v>
      </c>
      <c r="Y1324" s="239">
        <v>7.25</v>
      </c>
      <c r="Z1324" s="241">
        <f>Y1161+Y1119+Y626+Y597+Y584+Y391+(Y350/4)+(Y238/2)+(Y92/2)</f>
        <v>3489062</v>
      </c>
      <c r="AA1324" s="285">
        <f>Z1324/Z1313</f>
        <v>0.20501841372274504</v>
      </c>
      <c r="AB1324" s="239">
        <v>13.16</v>
      </c>
      <c r="AC1324" s="241">
        <f>AB1164+AB1122+AB1107+AB1110+AB1111+AB775+AB738+AB708+AB598+AB518+AB508+AB499+AB394+AB339+(AB238/2)+(AB223/6)+(AB92/2)-AB598-(AB394-AD394)</f>
        <v>11712126.5</v>
      </c>
      <c r="AD1324" s="285">
        <f>AC1324/AC1313</f>
        <v>0.63168053468763485</v>
      </c>
      <c r="AE1324" s="239">
        <v>12.16</v>
      </c>
      <c r="AF1324" s="241">
        <f>SUM(AE741,(AE238/2),(AE226/6),(AE92/2),AE1159:AE1167,AE1105:AE1114,AE1069:AE1078,AE1081:AE1090,AE770:AE778,AE747:AE755,AE703:AE711,AE626:AE634,AE593:AE601,AE560:AE568,AE549:AE557,AE538:AE546,AE527:AE535,AE516:AE524,AE505:AE513,AE494:AE502,AE400:AE408,AE389:AE397,AE367:AE375,AE345:AE353,AE334:AE342)</f>
        <v>2000668</v>
      </c>
      <c r="AG1324" s="285">
        <f>AF1324/AF1313</f>
        <v>0.15551044494716276</v>
      </c>
      <c r="AH1324" s="239">
        <v>8</v>
      </c>
      <c r="AI1324" s="241">
        <f>SUM(AH741,(AH238/2),(AH226/6),(AH92/2),AH1159:AH1167,AH1105:AH1114,AH1069:AH1078,AH1081:AH1090,AH770:AH778,AH747:AH755,AH703:AH711,AH626:AH634,AH593:AH601,AH560:AH568,AH549:AH557,AH538:AH546,AH527:AH535,AH516:AH524,AH505:AH513,AH494:AH502,AH400:AH408,AH389:AH397,AH367:AH375,AH345:AH353,AH334:AH342)</f>
        <v>40106381</v>
      </c>
      <c r="AJ1324" s="285">
        <f>AI1324/AI1313</f>
        <v>0.26668097560371007</v>
      </c>
      <c r="AK1324" s="239">
        <v>4.5</v>
      </c>
      <c r="AL1324" s="241">
        <f>SUM(AK741,(AK238/2),(AK226/6),(AK92/2),AK1159:AK1167,AK1105:AK1114,AK1069:AK1078,AK1081:AK1090,AK770:AK778,AK747:AK755,AK703:AK711,AK626:AK634,AK593:AK601,AK560:AK568,AK549:AK557,AK538:AK546,AK527:AK535,AK516:AK524,AK505:AK513,AK494:AK502,AK400:AK408,AK389:AK397,AK367:AK375,AK345:AK353,AK334:AK342)</f>
        <v>10494635</v>
      </c>
      <c r="AM1324" s="284">
        <f>AL1324/AL1313</f>
        <v>0.25928938697681603</v>
      </c>
      <c r="AN1324" s="239">
        <v>1</v>
      </c>
      <c r="AO1324" s="241">
        <f>SUM(AN741,(AN238/2),(AN226/6),(AN92/2),AN1159:AN1167,AN1105:AN1114,AN1069:AN1078,AN1081:AN1090,AN770:AN778,AN747:AN755,AN703:AN711,AN626:AN634,AN593:AN601,AN560:AN568,AN549:AN557,AN538:AN546,AN527:AN535,AN516:AN524,AN505:AN513,AN494:AN502,AN400:AN408,AN389:AN397,AN367:AN375,AN345:AN353,AN334:AN342)</f>
        <v>593400</v>
      </c>
      <c r="AP1324" s="284">
        <f>AO1324/AO1313</f>
        <v>2.8279107644037235E-2</v>
      </c>
      <c r="AQ1324" s="239">
        <v>1</v>
      </c>
      <c r="AR1324" s="241">
        <f>SUM(AQ741,(AQ238/2),(AQ226/6),(AQ92/2),AQ1159:AQ1167,AQ1105:AQ1114,AQ1069:AQ1078,AQ1081:AQ1090,AQ770:AQ778,AQ747:AQ755,AQ703:AQ711,AQ626:AQ634,AQ593:AQ601,AQ560:AQ568,AQ549:AQ557,AQ538:AQ546,AQ527:AQ535,AQ516:AQ524,AQ505:AQ513,AQ494:AQ502,AQ400:AQ408,AQ389:AQ397,AQ367:AQ375,AQ345:AQ353,AQ334:AQ342)</f>
        <v>603768</v>
      </c>
      <c r="AS1324" s="284">
        <f>AR1324/AR1313</f>
        <v>5.7264280218704618E-2</v>
      </c>
      <c r="AU1324" s="239">
        <f>SUM(AK1324,AH1324,AE1324,AB1324,Y1324,V1324,S1324,P1324,M1324,J1324,G1324,AN1324,AQ1324)</f>
        <v>68.069999999999993</v>
      </c>
      <c r="AV1324" s="241">
        <f>SUM(AL1324,AI1324,AF1324,AC1324,Z1324,W1324,T1324,Q1324,N1324,K1324,H1324,AO1324,AR1324)</f>
        <v>87459929</v>
      </c>
      <c r="AW1324" s="256">
        <f>AV1324/AV1313</f>
        <v>0.24949483957759766</v>
      </c>
      <c r="AZ1324" s="287">
        <f>SUM(AU1324,'KY - TA'!AU303,'KY - CRP'!AA182)</f>
        <v>89.073319999999995</v>
      </c>
      <c r="BA1324" s="241">
        <f>SUM(AV1324,'KY - TA'!AV303,'KY - CRP'!AB182)</f>
        <v>94709669.964440003</v>
      </c>
      <c r="BB1324" s="256">
        <f>BA1324/BA1313</f>
        <v>0.24827113381690616</v>
      </c>
    </row>
    <row r="1325" spans="7:54" ht="43.15">
      <c r="AW1325" s="228" t="s">
        <v>257</v>
      </c>
      <c r="BB1325" s="228" t="s">
        <v>257</v>
      </c>
    </row>
    <row r="1326" spans="7:54">
      <c r="AW1326" s="231">
        <f>BC1274/(BA1282+BA1277+BA1278)</f>
        <v>0.20882712865261055</v>
      </c>
      <c r="BB1326" s="231">
        <f>BC1274/(BA1282+BA1277+BA1278)</f>
        <v>0.20882712865261055</v>
      </c>
    </row>
    <row r="1329" spans="26:26" ht="43.15">
      <c r="Z1329" s="1" t="s">
        <v>597</v>
      </c>
    </row>
    <row r="1330" spans="26:26">
      <c r="Z1330" s="224">
        <v>66719770</v>
      </c>
    </row>
    <row r="1331" spans="26:26" ht="57.6">
      <c r="Z1331" s="1" t="s">
        <v>598</v>
      </c>
    </row>
    <row r="1332" spans="26:26">
      <c r="Z1332" s="225">
        <f>14434484/Z1330</f>
        <v>0.2163449304456535</v>
      </c>
    </row>
    <row r="1333" spans="26:26" ht="57.6">
      <c r="Z1333" s="1" t="s">
        <v>599</v>
      </c>
    </row>
    <row r="1334" spans="26:26">
      <c r="Z1334" s="225">
        <f>-AA1271/Z1330</f>
        <v>0.25194909994443926</v>
      </c>
    </row>
  </sheetData>
  <sheetProtection selectLockedCells="1"/>
  <autoFilter ref="A1:A1334" xr:uid="{00000000-0001-0000-0000-000000000000}"/>
  <mergeCells count="5783">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view="pageBreakPreview" zoomScaleNormal="60" zoomScaleSheetLayoutView="100" workbookViewId="0">
      <pane xSplit="6" ySplit="4" topLeftCell="AG228" activePane="bottomRight" state="frozen"/>
      <selection pane="bottomRight" activeCell="X13" sqref="X13"/>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547" t="s">
        <v>600</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row>
    <row r="2" spans="1:47" ht="30" customHeight="1">
      <c r="A2" s="547"/>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7"/>
      <c r="AK2" s="547"/>
      <c r="AL2" s="547"/>
      <c r="AM2" s="547"/>
      <c r="AN2" s="547"/>
      <c r="AO2" s="547"/>
      <c r="AP2" s="547"/>
      <c r="AQ2" s="547"/>
      <c r="AR2" s="547"/>
      <c r="AS2" s="547"/>
      <c r="AT2" s="547"/>
      <c r="AU2" s="547"/>
    </row>
    <row r="3" spans="1:47" s="45" customFormat="1" ht="22.5" customHeight="1">
      <c r="A3" s="720" t="s">
        <v>1</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720"/>
      <c r="AJ3" s="720"/>
      <c r="AK3" s="720"/>
      <c r="AL3" s="720"/>
      <c r="AM3" s="720"/>
      <c r="AN3" s="720"/>
      <c r="AO3" s="720"/>
      <c r="AP3" s="720"/>
      <c r="AQ3" s="720"/>
      <c r="AR3" s="720"/>
      <c r="AS3" s="720"/>
      <c r="AT3" s="720"/>
      <c r="AU3" s="720"/>
    </row>
    <row r="4" spans="1:47" ht="21.75" customHeight="1">
      <c r="A4" s="786" t="s">
        <v>2</v>
      </c>
      <c r="B4" s="787"/>
      <c r="C4" s="787"/>
      <c r="D4" s="787"/>
      <c r="E4" s="787"/>
      <c r="F4" s="788"/>
      <c r="G4" s="794" t="s">
        <v>3</v>
      </c>
      <c r="H4" s="795"/>
      <c r="I4" s="796"/>
      <c r="J4" s="789" t="s">
        <v>4</v>
      </c>
      <c r="K4" s="790"/>
      <c r="L4" s="791"/>
      <c r="M4" s="789" t="s">
        <v>5</v>
      </c>
      <c r="N4" s="790"/>
      <c r="O4" s="791"/>
      <c r="P4" s="789" t="s">
        <v>6</v>
      </c>
      <c r="Q4" s="790"/>
      <c r="R4" s="791"/>
      <c r="S4" s="789" t="s">
        <v>7</v>
      </c>
      <c r="T4" s="790"/>
      <c r="U4" s="791"/>
      <c r="V4" s="789" t="s">
        <v>8</v>
      </c>
      <c r="W4" s="790"/>
      <c r="X4" s="791"/>
      <c r="Y4" s="789" t="s">
        <v>9</v>
      </c>
      <c r="Z4" s="790"/>
      <c r="AA4" s="791"/>
      <c r="AB4" s="789" t="s">
        <v>10</v>
      </c>
      <c r="AC4" s="790"/>
      <c r="AD4" s="791"/>
      <c r="AE4" s="789" t="s">
        <v>11</v>
      </c>
      <c r="AF4" s="790"/>
      <c r="AG4" s="791"/>
      <c r="AH4" s="789" t="s">
        <v>12</v>
      </c>
      <c r="AI4" s="790"/>
      <c r="AJ4" s="791"/>
      <c r="AK4" s="789" t="s">
        <v>13</v>
      </c>
      <c r="AL4" s="790"/>
      <c r="AM4" s="791"/>
      <c r="AN4" s="789" t="s">
        <v>14</v>
      </c>
      <c r="AO4" s="790"/>
      <c r="AP4" s="791"/>
      <c r="AQ4" s="789" t="s">
        <v>15</v>
      </c>
      <c r="AR4" s="790"/>
      <c r="AS4" s="791"/>
      <c r="AT4" s="46" t="s">
        <v>17</v>
      </c>
      <c r="AU4" s="47"/>
    </row>
    <row r="5" spans="1:47" ht="15" customHeight="1">
      <c r="A5" s="813" t="s">
        <v>22</v>
      </c>
      <c r="B5" s="586" t="s">
        <v>18</v>
      </c>
      <c r="C5" s="490" t="s">
        <v>19</v>
      </c>
      <c r="D5" s="490" t="s">
        <v>203</v>
      </c>
      <c r="E5" s="801" t="s">
        <v>21</v>
      </c>
      <c r="F5" s="492" t="s">
        <v>23</v>
      </c>
      <c r="G5" s="504" t="s">
        <v>24</v>
      </c>
      <c r="H5" s="494" t="s">
        <v>25</v>
      </c>
      <c r="I5" s="496" t="s">
        <v>26</v>
      </c>
      <c r="J5" s="504" t="s">
        <v>24</v>
      </c>
      <c r="K5" s="494" t="s">
        <v>25</v>
      </c>
      <c r="L5" s="496" t="s">
        <v>26</v>
      </c>
      <c r="M5" s="504" t="s">
        <v>24</v>
      </c>
      <c r="N5" s="494" t="s">
        <v>25</v>
      </c>
      <c r="O5" s="496" t="s">
        <v>26</v>
      </c>
      <c r="P5" s="504" t="s">
        <v>24</v>
      </c>
      <c r="Q5" s="494" t="s">
        <v>25</v>
      </c>
      <c r="R5" s="496" t="s">
        <v>26</v>
      </c>
      <c r="S5" s="504" t="s">
        <v>24</v>
      </c>
      <c r="T5" s="494" t="s">
        <v>25</v>
      </c>
      <c r="U5" s="496" t="s">
        <v>26</v>
      </c>
      <c r="V5" s="504" t="s">
        <v>24</v>
      </c>
      <c r="W5" s="494" t="s">
        <v>25</v>
      </c>
      <c r="X5" s="496" t="s">
        <v>26</v>
      </c>
      <c r="Y5" s="504" t="s">
        <v>24</v>
      </c>
      <c r="Z5" s="494" t="s">
        <v>25</v>
      </c>
      <c r="AA5" s="496" t="s">
        <v>26</v>
      </c>
      <c r="AB5" s="504" t="s">
        <v>24</v>
      </c>
      <c r="AC5" s="494" t="s">
        <v>25</v>
      </c>
      <c r="AD5" s="496" t="s">
        <v>26</v>
      </c>
      <c r="AE5" s="504" t="s">
        <v>24</v>
      </c>
      <c r="AF5" s="494" t="s">
        <v>25</v>
      </c>
      <c r="AG5" s="496" t="s">
        <v>26</v>
      </c>
      <c r="AH5" s="504" t="s">
        <v>24</v>
      </c>
      <c r="AI5" s="494" t="s">
        <v>25</v>
      </c>
      <c r="AJ5" s="496" t="s">
        <v>26</v>
      </c>
      <c r="AK5" s="504" t="s">
        <v>24</v>
      </c>
      <c r="AL5" s="494" t="s">
        <v>25</v>
      </c>
      <c r="AM5" s="496" t="s">
        <v>26</v>
      </c>
      <c r="AN5" s="504" t="s">
        <v>24</v>
      </c>
      <c r="AO5" s="494" t="s">
        <v>25</v>
      </c>
      <c r="AP5" s="496" t="s">
        <v>26</v>
      </c>
      <c r="AQ5" s="504" t="s">
        <v>24</v>
      </c>
      <c r="AR5" s="494" t="s">
        <v>25</v>
      </c>
      <c r="AS5" s="496" t="s">
        <v>26</v>
      </c>
      <c r="AT5" s="803" t="s">
        <v>24</v>
      </c>
      <c r="AU5" s="513" t="s">
        <v>27</v>
      </c>
    </row>
    <row r="6" spans="1:47" ht="9.75" customHeight="1">
      <c r="A6" s="814"/>
      <c r="B6" s="550"/>
      <c r="C6" s="491"/>
      <c r="D6" s="491"/>
      <c r="E6" s="802"/>
      <c r="F6" s="493"/>
      <c r="G6" s="505"/>
      <c r="H6" s="495"/>
      <c r="I6" s="497"/>
      <c r="J6" s="505"/>
      <c r="K6" s="495"/>
      <c r="L6" s="497"/>
      <c r="M6" s="505"/>
      <c r="N6" s="495"/>
      <c r="O6" s="497"/>
      <c r="P6" s="505"/>
      <c r="Q6" s="495"/>
      <c r="R6" s="497"/>
      <c r="S6" s="505"/>
      <c r="T6" s="495"/>
      <c r="U6" s="497"/>
      <c r="V6" s="505"/>
      <c r="W6" s="495"/>
      <c r="X6" s="497"/>
      <c r="Y6" s="505"/>
      <c r="Z6" s="495"/>
      <c r="AA6" s="497"/>
      <c r="AB6" s="505"/>
      <c r="AC6" s="495"/>
      <c r="AD6" s="497"/>
      <c r="AE6" s="505"/>
      <c r="AF6" s="495"/>
      <c r="AG6" s="497"/>
      <c r="AH6" s="505"/>
      <c r="AI6" s="495"/>
      <c r="AJ6" s="497"/>
      <c r="AK6" s="505"/>
      <c r="AL6" s="495"/>
      <c r="AM6" s="497"/>
      <c r="AN6" s="505"/>
      <c r="AO6" s="495"/>
      <c r="AP6" s="497"/>
      <c r="AQ6" s="505"/>
      <c r="AR6" s="495"/>
      <c r="AS6" s="497"/>
      <c r="AT6" s="804"/>
      <c r="AU6" s="514"/>
    </row>
    <row r="7" spans="1:47" ht="14.25" customHeight="1">
      <c r="A7" s="760" t="s">
        <v>208</v>
      </c>
      <c r="B7" s="763" t="s">
        <v>367</v>
      </c>
      <c r="C7" s="766">
        <v>2230</v>
      </c>
      <c r="D7" s="769"/>
      <c r="E7" s="716" t="s">
        <v>601</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761"/>
      <c r="B8" s="764"/>
      <c r="C8" s="767"/>
      <c r="D8" s="770"/>
      <c r="E8" s="772"/>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761"/>
      <c r="B9" s="764"/>
      <c r="C9" s="767"/>
      <c r="D9" s="770"/>
      <c r="E9" s="772"/>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761"/>
      <c r="B10" s="764"/>
      <c r="C10" s="767"/>
      <c r="D10" s="770"/>
      <c r="E10" s="772"/>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761"/>
      <c r="B11" s="764"/>
      <c r="C11" s="767"/>
      <c r="D11" s="770"/>
      <c r="E11" s="772"/>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761"/>
      <c r="B12" s="764"/>
      <c r="C12" s="767"/>
      <c r="D12" s="770"/>
      <c r="E12" s="772"/>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761"/>
      <c r="B13" s="764"/>
      <c r="C13" s="767"/>
      <c r="D13" s="770"/>
      <c r="E13" s="772"/>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761"/>
      <c r="B14" s="764"/>
      <c r="C14" s="767"/>
      <c r="D14" s="770"/>
      <c r="E14" s="772"/>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762"/>
      <c r="B15" s="765"/>
      <c r="C15" s="768"/>
      <c r="D15" s="771"/>
      <c r="E15" s="773"/>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774" t="s">
        <v>22</v>
      </c>
      <c r="B16" s="542" t="s">
        <v>18</v>
      </c>
      <c r="C16" s="524" t="s">
        <v>19</v>
      </c>
      <c r="D16" s="524" t="s">
        <v>203</v>
      </c>
      <c r="E16" s="776" t="s">
        <v>21</v>
      </c>
      <c r="F16" s="492" t="s">
        <v>23</v>
      </c>
      <c r="G16" s="504" t="s">
        <v>24</v>
      </c>
      <c r="H16" s="494" t="s">
        <v>25</v>
      </c>
      <c r="I16" s="496" t="s">
        <v>26</v>
      </c>
      <c r="J16" s="504" t="s">
        <v>24</v>
      </c>
      <c r="K16" s="494" t="s">
        <v>25</v>
      </c>
      <c r="L16" s="496" t="s">
        <v>26</v>
      </c>
      <c r="M16" s="504" t="s">
        <v>24</v>
      </c>
      <c r="N16" s="494" t="s">
        <v>25</v>
      </c>
      <c r="O16" s="496" t="s">
        <v>26</v>
      </c>
      <c r="P16" s="504" t="s">
        <v>24</v>
      </c>
      <c r="Q16" s="494" t="s">
        <v>25</v>
      </c>
      <c r="R16" s="496" t="s">
        <v>26</v>
      </c>
      <c r="S16" s="504" t="s">
        <v>24</v>
      </c>
      <c r="T16" s="494" t="s">
        <v>25</v>
      </c>
      <c r="U16" s="496" t="s">
        <v>26</v>
      </c>
      <c r="V16" s="504" t="s">
        <v>24</v>
      </c>
      <c r="W16" s="494" t="s">
        <v>25</v>
      </c>
      <c r="X16" s="496" t="s">
        <v>26</v>
      </c>
      <c r="Y16" s="504" t="s">
        <v>24</v>
      </c>
      <c r="Z16" s="494" t="s">
        <v>25</v>
      </c>
      <c r="AA16" s="496" t="s">
        <v>26</v>
      </c>
      <c r="AB16" s="504" t="s">
        <v>24</v>
      </c>
      <c r="AC16" s="494" t="s">
        <v>25</v>
      </c>
      <c r="AD16" s="496" t="s">
        <v>26</v>
      </c>
      <c r="AE16" s="504" t="s">
        <v>24</v>
      </c>
      <c r="AF16" s="494" t="s">
        <v>25</v>
      </c>
      <c r="AG16" s="496" t="s">
        <v>26</v>
      </c>
      <c r="AH16" s="504" t="s">
        <v>24</v>
      </c>
      <c r="AI16" s="494" t="s">
        <v>25</v>
      </c>
      <c r="AJ16" s="496" t="s">
        <v>26</v>
      </c>
      <c r="AK16" s="504" t="s">
        <v>24</v>
      </c>
      <c r="AL16" s="494" t="s">
        <v>25</v>
      </c>
      <c r="AM16" s="496" t="s">
        <v>26</v>
      </c>
      <c r="AN16" s="504" t="s">
        <v>24</v>
      </c>
      <c r="AO16" s="494" t="s">
        <v>25</v>
      </c>
      <c r="AP16" s="496" t="s">
        <v>26</v>
      </c>
      <c r="AQ16" s="504" t="s">
        <v>24</v>
      </c>
      <c r="AR16" s="494" t="s">
        <v>25</v>
      </c>
      <c r="AS16" s="496" t="s">
        <v>26</v>
      </c>
      <c r="AT16" s="604" t="s">
        <v>24</v>
      </c>
      <c r="AU16" s="513" t="s">
        <v>27</v>
      </c>
    </row>
    <row r="17" spans="1:47" ht="15.75" customHeight="1">
      <c r="A17" s="775"/>
      <c r="B17" s="543"/>
      <c r="C17" s="525"/>
      <c r="D17" s="525"/>
      <c r="E17" s="777"/>
      <c r="F17" s="493"/>
      <c r="G17" s="505"/>
      <c r="H17" s="495"/>
      <c r="I17" s="497"/>
      <c r="J17" s="505"/>
      <c r="K17" s="495"/>
      <c r="L17" s="497"/>
      <c r="M17" s="505"/>
      <c r="N17" s="495"/>
      <c r="O17" s="497"/>
      <c r="P17" s="505"/>
      <c r="Q17" s="495"/>
      <c r="R17" s="497"/>
      <c r="S17" s="505"/>
      <c r="T17" s="495"/>
      <c r="U17" s="497"/>
      <c r="V17" s="505"/>
      <c r="W17" s="495"/>
      <c r="X17" s="497"/>
      <c r="Y17" s="505"/>
      <c r="Z17" s="495"/>
      <c r="AA17" s="497"/>
      <c r="AB17" s="505"/>
      <c r="AC17" s="495"/>
      <c r="AD17" s="497"/>
      <c r="AE17" s="505"/>
      <c r="AF17" s="495"/>
      <c r="AG17" s="497"/>
      <c r="AH17" s="505"/>
      <c r="AI17" s="495"/>
      <c r="AJ17" s="497"/>
      <c r="AK17" s="505"/>
      <c r="AL17" s="495"/>
      <c r="AM17" s="497"/>
      <c r="AN17" s="505"/>
      <c r="AO17" s="495"/>
      <c r="AP17" s="497"/>
      <c r="AQ17" s="505"/>
      <c r="AR17" s="495"/>
      <c r="AS17" s="497"/>
      <c r="AT17" s="588"/>
      <c r="AU17" s="514"/>
    </row>
    <row r="18" spans="1:47" ht="12.75" customHeight="1">
      <c r="A18" s="760" t="s">
        <v>208</v>
      </c>
      <c r="B18" s="763" t="s">
        <v>602</v>
      </c>
      <c r="C18" s="766">
        <v>2212</v>
      </c>
      <c r="D18" s="769"/>
      <c r="E18" s="716" t="s">
        <v>603</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761"/>
      <c r="B19" s="764"/>
      <c r="C19" s="767"/>
      <c r="D19" s="770"/>
      <c r="E19" s="772"/>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761"/>
      <c r="B20" s="764"/>
      <c r="C20" s="767"/>
      <c r="D20" s="770"/>
      <c r="E20" s="772"/>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761"/>
      <c r="B21" s="764"/>
      <c r="C21" s="767"/>
      <c r="D21" s="770"/>
      <c r="E21" s="772"/>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761"/>
      <c r="B22" s="764"/>
      <c r="C22" s="767"/>
      <c r="D22" s="770"/>
      <c r="E22" s="772"/>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761"/>
      <c r="B23" s="764"/>
      <c r="C23" s="767"/>
      <c r="D23" s="770"/>
      <c r="E23" s="772"/>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761"/>
      <c r="B24" s="764"/>
      <c r="C24" s="767"/>
      <c r="D24" s="770"/>
      <c r="E24" s="772"/>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761"/>
      <c r="B25" s="764"/>
      <c r="C25" s="767"/>
      <c r="D25" s="770"/>
      <c r="E25" s="772"/>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762"/>
      <c r="B26" s="765"/>
      <c r="C26" s="768"/>
      <c r="D26" s="771"/>
      <c r="E26" s="773"/>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774" t="s">
        <v>22</v>
      </c>
      <c r="B27" s="542" t="s">
        <v>18</v>
      </c>
      <c r="C27" s="524" t="s">
        <v>19</v>
      </c>
      <c r="D27" s="524" t="s">
        <v>203</v>
      </c>
      <c r="E27" s="776" t="s">
        <v>21</v>
      </c>
      <c r="F27" s="492" t="s">
        <v>23</v>
      </c>
      <c r="G27" s="504" t="s">
        <v>24</v>
      </c>
      <c r="H27" s="494" t="s">
        <v>25</v>
      </c>
      <c r="I27" s="496" t="s">
        <v>26</v>
      </c>
      <c r="J27" s="504" t="s">
        <v>24</v>
      </c>
      <c r="K27" s="494" t="s">
        <v>25</v>
      </c>
      <c r="L27" s="496" t="s">
        <v>26</v>
      </c>
      <c r="M27" s="504" t="s">
        <v>24</v>
      </c>
      <c r="N27" s="494" t="s">
        <v>25</v>
      </c>
      <c r="O27" s="496" t="s">
        <v>26</v>
      </c>
      <c r="P27" s="504" t="s">
        <v>24</v>
      </c>
      <c r="Q27" s="494" t="s">
        <v>25</v>
      </c>
      <c r="R27" s="496" t="s">
        <v>26</v>
      </c>
      <c r="S27" s="504" t="s">
        <v>24</v>
      </c>
      <c r="T27" s="494" t="s">
        <v>25</v>
      </c>
      <c r="U27" s="496" t="s">
        <v>26</v>
      </c>
      <c r="V27" s="504" t="s">
        <v>24</v>
      </c>
      <c r="W27" s="494" t="s">
        <v>25</v>
      </c>
      <c r="X27" s="496" t="s">
        <v>26</v>
      </c>
      <c r="Y27" s="504" t="s">
        <v>24</v>
      </c>
      <c r="Z27" s="494" t="s">
        <v>25</v>
      </c>
      <c r="AA27" s="496" t="s">
        <v>26</v>
      </c>
      <c r="AB27" s="504" t="s">
        <v>24</v>
      </c>
      <c r="AC27" s="494" t="s">
        <v>25</v>
      </c>
      <c r="AD27" s="496" t="s">
        <v>26</v>
      </c>
      <c r="AE27" s="504" t="s">
        <v>24</v>
      </c>
      <c r="AF27" s="494" t="s">
        <v>25</v>
      </c>
      <c r="AG27" s="496" t="s">
        <v>26</v>
      </c>
      <c r="AH27" s="504" t="s">
        <v>24</v>
      </c>
      <c r="AI27" s="494" t="s">
        <v>25</v>
      </c>
      <c r="AJ27" s="496" t="s">
        <v>26</v>
      </c>
      <c r="AK27" s="504" t="s">
        <v>24</v>
      </c>
      <c r="AL27" s="494" t="s">
        <v>25</v>
      </c>
      <c r="AM27" s="496" t="s">
        <v>26</v>
      </c>
      <c r="AN27" s="504" t="s">
        <v>24</v>
      </c>
      <c r="AO27" s="494" t="s">
        <v>25</v>
      </c>
      <c r="AP27" s="496" t="s">
        <v>26</v>
      </c>
      <c r="AQ27" s="504" t="s">
        <v>24</v>
      </c>
      <c r="AR27" s="494" t="s">
        <v>25</v>
      </c>
      <c r="AS27" s="496" t="s">
        <v>26</v>
      </c>
      <c r="AT27" s="604" t="s">
        <v>24</v>
      </c>
      <c r="AU27" s="513" t="s">
        <v>27</v>
      </c>
    </row>
    <row r="28" spans="1:47">
      <c r="A28" s="775"/>
      <c r="B28" s="543"/>
      <c r="C28" s="525"/>
      <c r="D28" s="525"/>
      <c r="E28" s="777"/>
      <c r="F28" s="493"/>
      <c r="G28" s="505"/>
      <c r="H28" s="495"/>
      <c r="I28" s="497"/>
      <c r="J28" s="505"/>
      <c r="K28" s="495"/>
      <c r="L28" s="497"/>
      <c r="M28" s="505"/>
      <c r="N28" s="495"/>
      <c r="O28" s="497"/>
      <c r="P28" s="505"/>
      <c r="Q28" s="495"/>
      <c r="R28" s="497"/>
      <c r="S28" s="505"/>
      <c r="T28" s="495"/>
      <c r="U28" s="497"/>
      <c r="V28" s="505"/>
      <c r="W28" s="495"/>
      <c r="X28" s="497"/>
      <c r="Y28" s="505"/>
      <c r="Z28" s="495"/>
      <c r="AA28" s="497"/>
      <c r="AB28" s="505"/>
      <c r="AC28" s="495"/>
      <c r="AD28" s="497"/>
      <c r="AE28" s="505"/>
      <c r="AF28" s="495"/>
      <c r="AG28" s="497"/>
      <c r="AH28" s="505"/>
      <c r="AI28" s="495"/>
      <c r="AJ28" s="497"/>
      <c r="AK28" s="505"/>
      <c r="AL28" s="495"/>
      <c r="AM28" s="497"/>
      <c r="AN28" s="505"/>
      <c r="AO28" s="495"/>
      <c r="AP28" s="497"/>
      <c r="AQ28" s="505"/>
      <c r="AR28" s="495"/>
      <c r="AS28" s="497"/>
      <c r="AT28" s="588"/>
      <c r="AU28" s="514"/>
    </row>
    <row r="29" spans="1:47" ht="15" customHeight="1">
      <c r="A29" s="760" t="s">
        <v>208</v>
      </c>
      <c r="B29" s="763" t="s">
        <v>604</v>
      </c>
      <c r="C29" s="766">
        <v>2385</v>
      </c>
      <c r="D29" s="769" t="s">
        <v>605</v>
      </c>
      <c r="E29" s="716" t="s">
        <v>606</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761"/>
      <c r="B30" s="764"/>
      <c r="C30" s="767"/>
      <c r="D30" s="770"/>
      <c r="E30" s="772"/>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761"/>
      <c r="B31" s="764"/>
      <c r="C31" s="767"/>
      <c r="D31" s="770"/>
      <c r="E31" s="772"/>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761"/>
      <c r="B32" s="764"/>
      <c r="C32" s="767"/>
      <c r="D32" s="770"/>
      <c r="E32" s="772"/>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761"/>
      <c r="B33" s="764"/>
      <c r="C33" s="767"/>
      <c r="D33" s="770"/>
      <c r="E33" s="772"/>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761"/>
      <c r="B34" s="764"/>
      <c r="C34" s="767"/>
      <c r="D34" s="770"/>
      <c r="E34" s="772"/>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761"/>
      <c r="B35" s="764"/>
      <c r="C35" s="767"/>
      <c r="D35" s="770"/>
      <c r="E35" s="772"/>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761"/>
      <c r="B36" s="764"/>
      <c r="C36" s="767"/>
      <c r="D36" s="770"/>
      <c r="E36" s="772"/>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762"/>
      <c r="B37" s="765"/>
      <c r="C37" s="768"/>
      <c r="D37" s="771"/>
      <c r="E37" s="773"/>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467" t="s">
        <v>22</v>
      </c>
      <c r="B38" s="490" t="s">
        <v>18</v>
      </c>
      <c r="C38" s="490" t="s">
        <v>19</v>
      </c>
      <c r="D38" s="490" t="s">
        <v>203</v>
      </c>
      <c r="E38" s="490" t="s">
        <v>21</v>
      </c>
      <c r="F38" s="492" t="s">
        <v>23</v>
      </c>
      <c r="G38" s="465" t="s">
        <v>24</v>
      </c>
      <c r="H38" s="467" t="s">
        <v>25</v>
      </c>
      <c r="I38" s="469" t="s">
        <v>26</v>
      </c>
      <c r="J38" s="465" t="s">
        <v>24</v>
      </c>
      <c r="K38" s="467" t="s">
        <v>25</v>
      </c>
      <c r="L38" s="469" t="s">
        <v>26</v>
      </c>
      <c r="M38" s="465" t="s">
        <v>24</v>
      </c>
      <c r="N38" s="467" t="s">
        <v>25</v>
      </c>
      <c r="O38" s="469" t="s">
        <v>26</v>
      </c>
      <c r="P38" s="465" t="s">
        <v>24</v>
      </c>
      <c r="Q38" s="467" t="s">
        <v>25</v>
      </c>
      <c r="R38" s="469" t="s">
        <v>26</v>
      </c>
      <c r="S38" s="465" t="s">
        <v>24</v>
      </c>
      <c r="T38" s="467" t="s">
        <v>25</v>
      </c>
      <c r="U38" s="469" t="s">
        <v>26</v>
      </c>
      <c r="V38" s="465" t="s">
        <v>24</v>
      </c>
      <c r="W38" s="467" t="s">
        <v>25</v>
      </c>
      <c r="X38" s="469" t="s">
        <v>26</v>
      </c>
      <c r="Y38" s="465" t="s">
        <v>24</v>
      </c>
      <c r="Z38" s="467" t="s">
        <v>25</v>
      </c>
      <c r="AA38" s="469" t="s">
        <v>26</v>
      </c>
      <c r="AB38" s="465" t="s">
        <v>24</v>
      </c>
      <c r="AC38" s="467" t="s">
        <v>25</v>
      </c>
      <c r="AD38" s="469" t="s">
        <v>26</v>
      </c>
      <c r="AE38" s="465" t="s">
        <v>24</v>
      </c>
      <c r="AF38" s="467" t="s">
        <v>25</v>
      </c>
      <c r="AG38" s="469" t="s">
        <v>26</v>
      </c>
      <c r="AH38" s="465" t="s">
        <v>24</v>
      </c>
      <c r="AI38" s="467" t="s">
        <v>25</v>
      </c>
      <c r="AJ38" s="469" t="s">
        <v>26</v>
      </c>
      <c r="AK38" s="465" t="s">
        <v>24</v>
      </c>
      <c r="AL38" s="467" t="s">
        <v>25</v>
      </c>
      <c r="AM38" s="792" t="s">
        <v>26</v>
      </c>
      <c r="AN38" s="465" t="s">
        <v>24</v>
      </c>
      <c r="AO38" s="467" t="s">
        <v>25</v>
      </c>
      <c r="AP38" s="792" t="s">
        <v>26</v>
      </c>
      <c r="AQ38" s="465" t="s">
        <v>24</v>
      </c>
      <c r="AR38" s="467" t="s">
        <v>25</v>
      </c>
      <c r="AS38" s="792" t="s">
        <v>26</v>
      </c>
      <c r="AT38" s="799" t="s">
        <v>24</v>
      </c>
      <c r="AU38" s="797" t="s">
        <v>27</v>
      </c>
    </row>
    <row r="39" spans="1:47">
      <c r="A39" s="468"/>
      <c r="B39" s="491"/>
      <c r="C39" s="491"/>
      <c r="D39" s="491"/>
      <c r="E39" s="491"/>
      <c r="F39" s="493"/>
      <c r="G39" s="466"/>
      <c r="H39" s="468"/>
      <c r="I39" s="470"/>
      <c r="J39" s="466"/>
      <c r="K39" s="468"/>
      <c r="L39" s="470"/>
      <c r="M39" s="466"/>
      <c r="N39" s="468"/>
      <c r="O39" s="470"/>
      <c r="P39" s="466"/>
      <c r="Q39" s="468"/>
      <c r="R39" s="470"/>
      <c r="S39" s="466"/>
      <c r="T39" s="468"/>
      <c r="U39" s="470"/>
      <c r="V39" s="466"/>
      <c r="W39" s="468"/>
      <c r="X39" s="470"/>
      <c r="Y39" s="466"/>
      <c r="Z39" s="468"/>
      <c r="AA39" s="470"/>
      <c r="AB39" s="466"/>
      <c r="AC39" s="468"/>
      <c r="AD39" s="470"/>
      <c r="AE39" s="466"/>
      <c r="AF39" s="468"/>
      <c r="AG39" s="470"/>
      <c r="AH39" s="466"/>
      <c r="AI39" s="468"/>
      <c r="AJ39" s="470"/>
      <c r="AK39" s="466"/>
      <c r="AL39" s="468"/>
      <c r="AM39" s="793"/>
      <c r="AN39" s="466"/>
      <c r="AO39" s="468"/>
      <c r="AP39" s="793"/>
      <c r="AQ39" s="466"/>
      <c r="AR39" s="468"/>
      <c r="AS39" s="793"/>
      <c r="AT39" s="800"/>
      <c r="AU39" s="798"/>
    </row>
    <row r="40" spans="1:47" ht="15" customHeight="1">
      <c r="A40" s="517" t="s">
        <v>204</v>
      </c>
      <c r="B40" s="476" t="s">
        <v>607</v>
      </c>
      <c r="C40" s="479">
        <v>2092</v>
      </c>
      <c r="D40" s="482" t="s">
        <v>608</v>
      </c>
      <c r="E40" s="520" t="s">
        <v>609</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518"/>
      <c r="B41" s="477"/>
      <c r="C41" s="480"/>
      <c r="D41" s="483"/>
      <c r="E41" s="521"/>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518"/>
      <c r="B42" s="477"/>
      <c r="C42" s="480"/>
      <c r="D42" s="483"/>
      <c r="E42" s="521"/>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518"/>
      <c r="B43" s="477"/>
      <c r="C43" s="480"/>
      <c r="D43" s="483"/>
      <c r="E43" s="521"/>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518"/>
      <c r="B44" s="477"/>
      <c r="C44" s="480"/>
      <c r="D44" s="483"/>
      <c r="E44" s="521"/>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518"/>
      <c r="B45" s="477"/>
      <c r="C45" s="480"/>
      <c r="D45" s="483"/>
      <c r="E45" s="521"/>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518"/>
      <c r="B46" s="477"/>
      <c r="C46" s="480"/>
      <c r="D46" s="483"/>
      <c r="E46" s="521"/>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518"/>
      <c r="B47" s="477"/>
      <c r="C47" s="480"/>
      <c r="D47" s="483"/>
      <c r="E47" s="521"/>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519"/>
      <c r="B48" s="478"/>
      <c r="C48" s="481"/>
      <c r="D48" s="484"/>
      <c r="E48" s="522"/>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774" t="s">
        <v>22</v>
      </c>
      <c r="B49" s="542" t="s">
        <v>18</v>
      </c>
      <c r="C49" s="524" t="s">
        <v>19</v>
      </c>
      <c r="D49" s="524" t="s">
        <v>203</v>
      </c>
      <c r="E49" s="776" t="s">
        <v>21</v>
      </c>
      <c r="F49" s="492" t="s">
        <v>23</v>
      </c>
      <c r="G49" s="504" t="s">
        <v>24</v>
      </c>
      <c r="H49" s="494" t="s">
        <v>25</v>
      </c>
      <c r="I49" s="496" t="s">
        <v>26</v>
      </c>
      <c r="J49" s="504" t="s">
        <v>24</v>
      </c>
      <c r="K49" s="494" t="s">
        <v>25</v>
      </c>
      <c r="L49" s="496" t="s">
        <v>26</v>
      </c>
      <c r="M49" s="504" t="s">
        <v>24</v>
      </c>
      <c r="N49" s="494" t="s">
        <v>25</v>
      </c>
      <c r="O49" s="496" t="s">
        <v>26</v>
      </c>
      <c r="P49" s="504" t="s">
        <v>24</v>
      </c>
      <c r="Q49" s="494" t="s">
        <v>25</v>
      </c>
      <c r="R49" s="496" t="s">
        <v>26</v>
      </c>
      <c r="S49" s="504" t="s">
        <v>24</v>
      </c>
      <c r="T49" s="494" t="s">
        <v>25</v>
      </c>
      <c r="U49" s="496" t="s">
        <v>26</v>
      </c>
      <c r="V49" s="504" t="s">
        <v>24</v>
      </c>
      <c r="W49" s="494" t="s">
        <v>25</v>
      </c>
      <c r="X49" s="496" t="s">
        <v>26</v>
      </c>
      <c r="Y49" s="504" t="s">
        <v>24</v>
      </c>
      <c r="Z49" s="494" t="s">
        <v>25</v>
      </c>
      <c r="AA49" s="496" t="s">
        <v>26</v>
      </c>
      <c r="AB49" s="504" t="s">
        <v>24</v>
      </c>
      <c r="AC49" s="494" t="s">
        <v>25</v>
      </c>
      <c r="AD49" s="496" t="s">
        <v>26</v>
      </c>
      <c r="AE49" s="504" t="s">
        <v>24</v>
      </c>
      <c r="AF49" s="494" t="s">
        <v>25</v>
      </c>
      <c r="AG49" s="496" t="s">
        <v>26</v>
      </c>
      <c r="AH49" s="504" t="s">
        <v>24</v>
      </c>
      <c r="AI49" s="494" t="s">
        <v>25</v>
      </c>
      <c r="AJ49" s="496" t="s">
        <v>26</v>
      </c>
      <c r="AK49" s="504" t="s">
        <v>24</v>
      </c>
      <c r="AL49" s="494" t="s">
        <v>25</v>
      </c>
      <c r="AM49" s="496" t="s">
        <v>26</v>
      </c>
      <c r="AN49" s="504" t="s">
        <v>24</v>
      </c>
      <c r="AO49" s="494" t="s">
        <v>25</v>
      </c>
      <c r="AP49" s="496" t="s">
        <v>26</v>
      </c>
      <c r="AQ49" s="504" t="s">
        <v>24</v>
      </c>
      <c r="AR49" s="494" t="s">
        <v>25</v>
      </c>
      <c r="AS49" s="496" t="s">
        <v>26</v>
      </c>
      <c r="AT49" s="604" t="s">
        <v>24</v>
      </c>
      <c r="AU49" s="513" t="s">
        <v>27</v>
      </c>
    </row>
    <row r="50" spans="1:47">
      <c r="A50" s="775"/>
      <c r="B50" s="543"/>
      <c r="C50" s="525"/>
      <c r="D50" s="525"/>
      <c r="E50" s="777"/>
      <c r="F50" s="493"/>
      <c r="G50" s="505"/>
      <c r="H50" s="495"/>
      <c r="I50" s="497"/>
      <c r="J50" s="505"/>
      <c r="K50" s="495"/>
      <c r="L50" s="497"/>
      <c r="M50" s="505"/>
      <c r="N50" s="495"/>
      <c r="O50" s="497"/>
      <c r="P50" s="505"/>
      <c r="Q50" s="495"/>
      <c r="R50" s="497"/>
      <c r="S50" s="505"/>
      <c r="T50" s="495"/>
      <c r="U50" s="497"/>
      <c r="V50" s="505"/>
      <c r="W50" s="495"/>
      <c r="X50" s="497"/>
      <c r="Y50" s="505"/>
      <c r="Z50" s="495"/>
      <c r="AA50" s="497"/>
      <c r="AB50" s="505"/>
      <c r="AC50" s="495"/>
      <c r="AD50" s="497"/>
      <c r="AE50" s="505"/>
      <c r="AF50" s="495"/>
      <c r="AG50" s="497"/>
      <c r="AH50" s="505"/>
      <c r="AI50" s="495"/>
      <c r="AJ50" s="497"/>
      <c r="AK50" s="505"/>
      <c r="AL50" s="495"/>
      <c r="AM50" s="497"/>
      <c r="AN50" s="505"/>
      <c r="AO50" s="495"/>
      <c r="AP50" s="497"/>
      <c r="AQ50" s="505"/>
      <c r="AR50" s="495"/>
      <c r="AS50" s="497"/>
      <c r="AT50" s="588"/>
      <c r="AU50" s="514"/>
    </row>
    <row r="51" spans="1:47" ht="15" customHeight="1">
      <c r="A51" s="760" t="s">
        <v>204</v>
      </c>
      <c r="B51" s="763" t="s">
        <v>610</v>
      </c>
      <c r="C51" s="766">
        <v>2895</v>
      </c>
      <c r="D51" s="769" t="s">
        <v>611</v>
      </c>
      <c r="E51" s="716" t="s">
        <v>612</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761"/>
      <c r="B52" s="764"/>
      <c r="C52" s="767"/>
      <c r="D52" s="770"/>
      <c r="E52" s="772"/>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761"/>
      <c r="B53" s="764"/>
      <c r="C53" s="767"/>
      <c r="D53" s="770"/>
      <c r="E53" s="772"/>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761"/>
      <c r="B54" s="764"/>
      <c r="C54" s="767"/>
      <c r="D54" s="770"/>
      <c r="E54" s="772"/>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761"/>
      <c r="B55" s="764"/>
      <c r="C55" s="767"/>
      <c r="D55" s="770"/>
      <c r="E55" s="772"/>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761"/>
      <c r="B56" s="764"/>
      <c r="C56" s="767"/>
      <c r="D56" s="770"/>
      <c r="E56" s="772"/>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761"/>
      <c r="B57" s="764"/>
      <c r="C57" s="767"/>
      <c r="D57" s="770"/>
      <c r="E57" s="772"/>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761"/>
      <c r="B58" s="764"/>
      <c r="C58" s="767"/>
      <c r="D58" s="770"/>
      <c r="E58" s="772"/>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762"/>
      <c r="B59" s="765"/>
      <c r="C59" s="768"/>
      <c r="D59" s="771"/>
      <c r="E59" s="773"/>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774" t="s">
        <v>22</v>
      </c>
      <c r="B60" s="542" t="s">
        <v>18</v>
      </c>
      <c r="C60" s="524" t="s">
        <v>19</v>
      </c>
      <c r="D60" s="524" t="s">
        <v>203</v>
      </c>
      <c r="E60" s="776" t="s">
        <v>21</v>
      </c>
      <c r="F60" s="492" t="s">
        <v>23</v>
      </c>
      <c r="G60" s="504" t="s">
        <v>24</v>
      </c>
      <c r="H60" s="494" t="s">
        <v>25</v>
      </c>
      <c r="I60" s="496" t="s">
        <v>26</v>
      </c>
      <c r="J60" s="504" t="s">
        <v>24</v>
      </c>
      <c r="K60" s="494" t="s">
        <v>25</v>
      </c>
      <c r="L60" s="496" t="s">
        <v>26</v>
      </c>
      <c r="M60" s="504" t="s">
        <v>24</v>
      </c>
      <c r="N60" s="494" t="s">
        <v>25</v>
      </c>
      <c r="O60" s="496" t="s">
        <v>26</v>
      </c>
      <c r="P60" s="504" t="s">
        <v>24</v>
      </c>
      <c r="Q60" s="494" t="s">
        <v>25</v>
      </c>
      <c r="R60" s="496" t="s">
        <v>26</v>
      </c>
      <c r="S60" s="504" t="s">
        <v>24</v>
      </c>
      <c r="T60" s="494" t="s">
        <v>25</v>
      </c>
      <c r="U60" s="496" t="s">
        <v>26</v>
      </c>
      <c r="V60" s="504" t="s">
        <v>24</v>
      </c>
      <c r="W60" s="494" t="s">
        <v>25</v>
      </c>
      <c r="X60" s="496" t="s">
        <v>26</v>
      </c>
      <c r="Y60" s="504" t="s">
        <v>24</v>
      </c>
      <c r="Z60" s="494" t="s">
        <v>25</v>
      </c>
      <c r="AA60" s="496" t="s">
        <v>26</v>
      </c>
      <c r="AB60" s="504" t="s">
        <v>24</v>
      </c>
      <c r="AC60" s="494" t="s">
        <v>25</v>
      </c>
      <c r="AD60" s="496" t="s">
        <v>26</v>
      </c>
      <c r="AE60" s="504" t="s">
        <v>24</v>
      </c>
      <c r="AF60" s="494" t="s">
        <v>25</v>
      </c>
      <c r="AG60" s="496" t="s">
        <v>26</v>
      </c>
      <c r="AH60" s="504" t="s">
        <v>24</v>
      </c>
      <c r="AI60" s="494" t="s">
        <v>25</v>
      </c>
      <c r="AJ60" s="496" t="s">
        <v>26</v>
      </c>
      <c r="AK60" s="504" t="s">
        <v>24</v>
      </c>
      <c r="AL60" s="494" t="s">
        <v>25</v>
      </c>
      <c r="AM60" s="496" t="s">
        <v>26</v>
      </c>
      <c r="AN60" s="504" t="s">
        <v>24</v>
      </c>
      <c r="AO60" s="494" t="s">
        <v>25</v>
      </c>
      <c r="AP60" s="496" t="s">
        <v>26</v>
      </c>
      <c r="AQ60" s="504" t="s">
        <v>24</v>
      </c>
      <c r="AR60" s="494" t="s">
        <v>25</v>
      </c>
      <c r="AS60" s="496" t="s">
        <v>26</v>
      </c>
      <c r="AT60" s="604" t="s">
        <v>24</v>
      </c>
      <c r="AU60" s="513" t="s">
        <v>27</v>
      </c>
    </row>
    <row r="61" spans="1:47">
      <c r="A61" s="775"/>
      <c r="B61" s="543"/>
      <c r="C61" s="525"/>
      <c r="D61" s="525"/>
      <c r="E61" s="777"/>
      <c r="F61" s="493"/>
      <c r="G61" s="505"/>
      <c r="H61" s="495"/>
      <c r="I61" s="497"/>
      <c r="J61" s="505"/>
      <c r="K61" s="495"/>
      <c r="L61" s="497"/>
      <c r="M61" s="505"/>
      <c r="N61" s="495"/>
      <c r="O61" s="497"/>
      <c r="P61" s="505"/>
      <c r="Q61" s="495"/>
      <c r="R61" s="497"/>
      <c r="S61" s="505"/>
      <c r="T61" s="495"/>
      <c r="U61" s="497"/>
      <c r="V61" s="505"/>
      <c r="W61" s="495"/>
      <c r="X61" s="497"/>
      <c r="Y61" s="505"/>
      <c r="Z61" s="495"/>
      <c r="AA61" s="497"/>
      <c r="AB61" s="505"/>
      <c r="AC61" s="495"/>
      <c r="AD61" s="497"/>
      <c r="AE61" s="505"/>
      <c r="AF61" s="495"/>
      <c r="AG61" s="497"/>
      <c r="AH61" s="505"/>
      <c r="AI61" s="495"/>
      <c r="AJ61" s="497"/>
      <c r="AK61" s="505"/>
      <c r="AL61" s="495"/>
      <c r="AM61" s="497"/>
      <c r="AN61" s="505"/>
      <c r="AO61" s="495"/>
      <c r="AP61" s="497"/>
      <c r="AQ61" s="505"/>
      <c r="AR61" s="495"/>
      <c r="AS61" s="497"/>
      <c r="AT61" s="588"/>
      <c r="AU61" s="514"/>
    </row>
    <row r="62" spans="1:47" ht="15" customHeight="1">
      <c r="A62" s="760" t="s">
        <v>204</v>
      </c>
      <c r="B62" s="763" t="s">
        <v>613</v>
      </c>
      <c r="C62" s="766">
        <v>2920</v>
      </c>
      <c r="D62" s="769" t="s">
        <v>614</v>
      </c>
      <c r="E62" s="716" t="s">
        <v>615</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761"/>
      <c r="B63" s="764"/>
      <c r="C63" s="767"/>
      <c r="D63" s="770"/>
      <c r="E63" s="772"/>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761"/>
      <c r="B64" s="764"/>
      <c r="C64" s="767"/>
      <c r="D64" s="770"/>
      <c r="E64" s="772"/>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761"/>
      <c r="B65" s="764"/>
      <c r="C65" s="767"/>
      <c r="D65" s="770"/>
      <c r="E65" s="772"/>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761"/>
      <c r="B66" s="764"/>
      <c r="C66" s="767"/>
      <c r="D66" s="770"/>
      <c r="E66" s="772"/>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761"/>
      <c r="B67" s="764"/>
      <c r="C67" s="767"/>
      <c r="D67" s="770"/>
      <c r="E67" s="772"/>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761"/>
      <c r="B68" s="764"/>
      <c r="C68" s="767"/>
      <c r="D68" s="770"/>
      <c r="E68" s="772"/>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761"/>
      <c r="B69" s="764"/>
      <c r="C69" s="767"/>
      <c r="D69" s="770"/>
      <c r="E69" s="772"/>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762"/>
      <c r="B70" s="765"/>
      <c r="C70" s="768"/>
      <c r="D70" s="771"/>
      <c r="E70" s="773"/>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774" t="s">
        <v>22</v>
      </c>
      <c r="B71" s="542" t="s">
        <v>18</v>
      </c>
      <c r="C71" s="524" t="s">
        <v>19</v>
      </c>
      <c r="D71" s="524" t="s">
        <v>203</v>
      </c>
      <c r="E71" s="776" t="s">
        <v>21</v>
      </c>
      <c r="F71" s="492" t="s">
        <v>23</v>
      </c>
      <c r="G71" s="504" t="s">
        <v>24</v>
      </c>
      <c r="H71" s="494" t="s">
        <v>25</v>
      </c>
      <c r="I71" s="496" t="s">
        <v>26</v>
      </c>
      <c r="J71" s="504" t="s">
        <v>24</v>
      </c>
      <c r="K71" s="494" t="s">
        <v>25</v>
      </c>
      <c r="L71" s="496" t="s">
        <v>26</v>
      </c>
      <c r="M71" s="504" t="s">
        <v>24</v>
      </c>
      <c r="N71" s="494" t="s">
        <v>25</v>
      </c>
      <c r="O71" s="496" t="s">
        <v>26</v>
      </c>
      <c r="P71" s="504" t="s">
        <v>24</v>
      </c>
      <c r="Q71" s="494" t="s">
        <v>25</v>
      </c>
      <c r="R71" s="496" t="s">
        <v>26</v>
      </c>
      <c r="S71" s="504" t="s">
        <v>24</v>
      </c>
      <c r="T71" s="494" t="s">
        <v>25</v>
      </c>
      <c r="U71" s="496" t="s">
        <v>26</v>
      </c>
      <c r="V71" s="504" t="s">
        <v>24</v>
      </c>
      <c r="W71" s="494" t="s">
        <v>25</v>
      </c>
      <c r="X71" s="496" t="s">
        <v>26</v>
      </c>
      <c r="Y71" s="504" t="s">
        <v>24</v>
      </c>
      <c r="Z71" s="494" t="s">
        <v>25</v>
      </c>
      <c r="AA71" s="496" t="s">
        <v>26</v>
      </c>
      <c r="AB71" s="504" t="s">
        <v>24</v>
      </c>
      <c r="AC71" s="494" t="s">
        <v>25</v>
      </c>
      <c r="AD71" s="496" t="s">
        <v>26</v>
      </c>
      <c r="AE71" s="504" t="s">
        <v>24</v>
      </c>
      <c r="AF71" s="494" t="s">
        <v>25</v>
      </c>
      <c r="AG71" s="496" t="s">
        <v>26</v>
      </c>
      <c r="AH71" s="504" t="s">
        <v>24</v>
      </c>
      <c r="AI71" s="494" t="s">
        <v>25</v>
      </c>
      <c r="AJ71" s="496" t="s">
        <v>26</v>
      </c>
      <c r="AK71" s="504" t="s">
        <v>24</v>
      </c>
      <c r="AL71" s="494" t="s">
        <v>25</v>
      </c>
      <c r="AM71" s="496" t="s">
        <v>26</v>
      </c>
      <c r="AN71" s="504" t="s">
        <v>24</v>
      </c>
      <c r="AO71" s="494" t="s">
        <v>25</v>
      </c>
      <c r="AP71" s="496" t="s">
        <v>26</v>
      </c>
      <c r="AQ71" s="504" t="s">
        <v>24</v>
      </c>
      <c r="AR71" s="494" t="s">
        <v>25</v>
      </c>
      <c r="AS71" s="496" t="s">
        <v>26</v>
      </c>
      <c r="AT71" s="604" t="s">
        <v>24</v>
      </c>
      <c r="AU71" s="513" t="s">
        <v>27</v>
      </c>
    </row>
    <row r="72" spans="1:47">
      <c r="A72" s="775"/>
      <c r="B72" s="543"/>
      <c r="C72" s="525"/>
      <c r="D72" s="525"/>
      <c r="E72" s="777"/>
      <c r="F72" s="493"/>
      <c r="G72" s="505"/>
      <c r="H72" s="495"/>
      <c r="I72" s="497"/>
      <c r="J72" s="505"/>
      <c r="K72" s="495"/>
      <c r="L72" s="497"/>
      <c r="M72" s="505"/>
      <c r="N72" s="495"/>
      <c r="O72" s="497"/>
      <c r="P72" s="505"/>
      <c r="Q72" s="495"/>
      <c r="R72" s="497"/>
      <c r="S72" s="505"/>
      <c r="T72" s="495"/>
      <c r="U72" s="497"/>
      <c r="V72" s="505"/>
      <c r="W72" s="495"/>
      <c r="X72" s="497"/>
      <c r="Y72" s="505"/>
      <c r="Z72" s="495"/>
      <c r="AA72" s="497"/>
      <c r="AB72" s="505"/>
      <c r="AC72" s="495"/>
      <c r="AD72" s="497"/>
      <c r="AE72" s="505"/>
      <c r="AF72" s="495"/>
      <c r="AG72" s="497"/>
      <c r="AH72" s="505"/>
      <c r="AI72" s="495"/>
      <c r="AJ72" s="497"/>
      <c r="AK72" s="505"/>
      <c r="AL72" s="495"/>
      <c r="AM72" s="497"/>
      <c r="AN72" s="505"/>
      <c r="AO72" s="495"/>
      <c r="AP72" s="497"/>
      <c r="AQ72" s="505"/>
      <c r="AR72" s="495"/>
      <c r="AS72" s="497"/>
      <c r="AT72" s="588"/>
      <c r="AU72" s="514"/>
    </row>
    <row r="73" spans="1:47" ht="15" customHeight="1">
      <c r="A73" s="760" t="s">
        <v>204</v>
      </c>
      <c r="B73" s="763" t="s">
        <v>616</v>
      </c>
      <c r="C73" s="766">
        <v>2896</v>
      </c>
      <c r="D73" s="769" t="s">
        <v>617</v>
      </c>
      <c r="E73" s="716" t="s">
        <v>618</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761"/>
      <c r="B74" s="764"/>
      <c r="C74" s="767"/>
      <c r="D74" s="770"/>
      <c r="E74" s="772"/>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761"/>
      <c r="B75" s="764"/>
      <c r="C75" s="767"/>
      <c r="D75" s="770"/>
      <c r="E75" s="772"/>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761"/>
      <c r="B76" s="764"/>
      <c r="C76" s="767"/>
      <c r="D76" s="770"/>
      <c r="E76" s="772"/>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761"/>
      <c r="B77" s="764"/>
      <c r="C77" s="767"/>
      <c r="D77" s="770"/>
      <c r="E77" s="772"/>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761"/>
      <c r="B78" s="764"/>
      <c r="C78" s="767"/>
      <c r="D78" s="770"/>
      <c r="E78" s="772"/>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761"/>
      <c r="B79" s="764"/>
      <c r="C79" s="767"/>
      <c r="D79" s="770"/>
      <c r="E79" s="772"/>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761"/>
      <c r="B80" s="764"/>
      <c r="C80" s="767"/>
      <c r="D80" s="770"/>
      <c r="E80" s="772"/>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762"/>
      <c r="B81" s="765"/>
      <c r="C81" s="768"/>
      <c r="D81" s="771"/>
      <c r="E81" s="773"/>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774" t="s">
        <v>22</v>
      </c>
      <c r="B82" s="542" t="s">
        <v>18</v>
      </c>
      <c r="C82" s="524" t="s">
        <v>19</v>
      </c>
      <c r="D82" s="524" t="s">
        <v>203</v>
      </c>
      <c r="E82" s="776" t="s">
        <v>21</v>
      </c>
      <c r="F82" s="492" t="s">
        <v>23</v>
      </c>
      <c r="G82" s="504" t="s">
        <v>24</v>
      </c>
      <c r="H82" s="494" t="s">
        <v>25</v>
      </c>
      <c r="I82" s="496" t="s">
        <v>26</v>
      </c>
      <c r="J82" s="504" t="s">
        <v>24</v>
      </c>
      <c r="K82" s="494" t="s">
        <v>25</v>
      </c>
      <c r="L82" s="496" t="s">
        <v>26</v>
      </c>
      <c r="M82" s="504" t="s">
        <v>24</v>
      </c>
      <c r="N82" s="494" t="s">
        <v>25</v>
      </c>
      <c r="O82" s="496" t="s">
        <v>26</v>
      </c>
      <c r="P82" s="504" t="s">
        <v>24</v>
      </c>
      <c r="Q82" s="494" t="s">
        <v>25</v>
      </c>
      <c r="R82" s="496" t="s">
        <v>26</v>
      </c>
      <c r="S82" s="504" t="s">
        <v>24</v>
      </c>
      <c r="T82" s="494" t="s">
        <v>25</v>
      </c>
      <c r="U82" s="496" t="s">
        <v>26</v>
      </c>
      <c r="V82" s="504" t="s">
        <v>24</v>
      </c>
      <c r="W82" s="494" t="s">
        <v>25</v>
      </c>
      <c r="X82" s="496" t="s">
        <v>26</v>
      </c>
      <c r="Y82" s="504" t="s">
        <v>24</v>
      </c>
      <c r="Z82" s="494" t="s">
        <v>25</v>
      </c>
      <c r="AA82" s="496" t="s">
        <v>26</v>
      </c>
      <c r="AB82" s="504" t="s">
        <v>24</v>
      </c>
      <c r="AC82" s="494" t="s">
        <v>25</v>
      </c>
      <c r="AD82" s="496" t="s">
        <v>26</v>
      </c>
      <c r="AE82" s="504" t="s">
        <v>24</v>
      </c>
      <c r="AF82" s="494" t="s">
        <v>25</v>
      </c>
      <c r="AG82" s="496" t="s">
        <v>26</v>
      </c>
      <c r="AH82" s="504" t="s">
        <v>24</v>
      </c>
      <c r="AI82" s="494" t="s">
        <v>25</v>
      </c>
      <c r="AJ82" s="496" t="s">
        <v>26</v>
      </c>
      <c r="AK82" s="504" t="s">
        <v>24</v>
      </c>
      <c r="AL82" s="494" t="s">
        <v>25</v>
      </c>
      <c r="AM82" s="496" t="s">
        <v>26</v>
      </c>
      <c r="AN82" s="504" t="s">
        <v>24</v>
      </c>
      <c r="AO82" s="494" t="s">
        <v>25</v>
      </c>
      <c r="AP82" s="496" t="s">
        <v>26</v>
      </c>
      <c r="AQ82" s="504" t="s">
        <v>24</v>
      </c>
      <c r="AR82" s="494" t="s">
        <v>25</v>
      </c>
      <c r="AS82" s="496" t="s">
        <v>26</v>
      </c>
      <c r="AT82" s="604" t="s">
        <v>24</v>
      </c>
      <c r="AU82" s="513" t="s">
        <v>27</v>
      </c>
    </row>
    <row r="83" spans="1:47">
      <c r="A83" s="775"/>
      <c r="B83" s="543"/>
      <c r="C83" s="525"/>
      <c r="D83" s="525"/>
      <c r="E83" s="777"/>
      <c r="F83" s="493"/>
      <c r="G83" s="505"/>
      <c r="H83" s="495"/>
      <c r="I83" s="497"/>
      <c r="J83" s="505"/>
      <c r="K83" s="495"/>
      <c r="L83" s="497"/>
      <c r="M83" s="505"/>
      <c r="N83" s="495"/>
      <c r="O83" s="497"/>
      <c r="P83" s="505"/>
      <c r="Q83" s="495"/>
      <c r="R83" s="497"/>
      <c r="S83" s="505"/>
      <c r="T83" s="495"/>
      <c r="U83" s="497"/>
      <c r="V83" s="505"/>
      <c r="W83" s="495"/>
      <c r="X83" s="497"/>
      <c r="Y83" s="505"/>
      <c r="Z83" s="495"/>
      <c r="AA83" s="497"/>
      <c r="AB83" s="505"/>
      <c r="AC83" s="495"/>
      <c r="AD83" s="497"/>
      <c r="AE83" s="505"/>
      <c r="AF83" s="495"/>
      <c r="AG83" s="497"/>
      <c r="AH83" s="505"/>
      <c r="AI83" s="495"/>
      <c r="AJ83" s="497"/>
      <c r="AK83" s="505"/>
      <c r="AL83" s="495"/>
      <c r="AM83" s="497"/>
      <c r="AN83" s="505"/>
      <c r="AO83" s="495"/>
      <c r="AP83" s="497"/>
      <c r="AQ83" s="505"/>
      <c r="AR83" s="495"/>
      <c r="AS83" s="497"/>
      <c r="AT83" s="588"/>
      <c r="AU83" s="514"/>
    </row>
    <row r="84" spans="1:47" ht="15" customHeight="1">
      <c r="A84" s="760" t="s">
        <v>204</v>
      </c>
      <c r="B84" s="763" t="s">
        <v>619</v>
      </c>
      <c r="C84" s="766">
        <v>2921</v>
      </c>
      <c r="D84" s="769" t="s">
        <v>620</v>
      </c>
      <c r="E84" s="716" t="s">
        <v>621</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761"/>
      <c r="B85" s="764"/>
      <c r="C85" s="767"/>
      <c r="D85" s="770"/>
      <c r="E85" s="772"/>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761"/>
      <c r="B86" s="764"/>
      <c r="C86" s="767"/>
      <c r="D86" s="770"/>
      <c r="E86" s="772"/>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761"/>
      <c r="B87" s="764"/>
      <c r="C87" s="767"/>
      <c r="D87" s="770"/>
      <c r="E87" s="772"/>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761"/>
      <c r="B88" s="764"/>
      <c r="C88" s="767"/>
      <c r="D88" s="770"/>
      <c r="E88" s="772"/>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761"/>
      <c r="B89" s="764"/>
      <c r="C89" s="767"/>
      <c r="D89" s="770"/>
      <c r="E89" s="772"/>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761"/>
      <c r="B90" s="764"/>
      <c r="C90" s="767"/>
      <c r="D90" s="770"/>
      <c r="E90" s="772"/>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761"/>
      <c r="B91" s="764"/>
      <c r="C91" s="767"/>
      <c r="D91" s="770"/>
      <c r="E91" s="772"/>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762"/>
      <c r="B92" s="765"/>
      <c r="C92" s="768"/>
      <c r="D92" s="771"/>
      <c r="E92" s="773"/>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774" t="s">
        <v>22</v>
      </c>
      <c r="B93" s="542" t="s">
        <v>18</v>
      </c>
      <c r="C93" s="524" t="s">
        <v>19</v>
      </c>
      <c r="D93" s="524" t="s">
        <v>203</v>
      </c>
      <c r="E93" s="776" t="s">
        <v>21</v>
      </c>
      <c r="F93" s="492" t="s">
        <v>23</v>
      </c>
      <c r="G93" s="504" t="s">
        <v>24</v>
      </c>
      <c r="H93" s="494" t="s">
        <v>25</v>
      </c>
      <c r="I93" s="496" t="s">
        <v>26</v>
      </c>
      <c r="J93" s="504" t="s">
        <v>24</v>
      </c>
      <c r="K93" s="494" t="s">
        <v>25</v>
      </c>
      <c r="L93" s="496" t="s">
        <v>26</v>
      </c>
      <c r="M93" s="504" t="s">
        <v>24</v>
      </c>
      <c r="N93" s="494" t="s">
        <v>25</v>
      </c>
      <c r="O93" s="496" t="s">
        <v>26</v>
      </c>
      <c r="P93" s="504" t="s">
        <v>24</v>
      </c>
      <c r="Q93" s="494" t="s">
        <v>25</v>
      </c>
      <c r="R93" s="496" t="s">
        <v>26</v>
      </c>
      <c r="S93" s="504" t="s">
        <v>24</v>
      </c>
      <c r="T93" s="494" t="s">
        <v>25</v>
      </c>
      <c r="U93" s="496" t="s">
        <v>26</v>
      </c>
      <c r="V93" s="504" t="s">
        <v>24</v>
      </c>
      <c r="W93" s="494" t="s">
        <v>25</v>
      </c>
      <c r="X93" s="496" t="s">
        <v>26</v>
      </c>
      <c r="Y93" s="504" t="s">
        <v>24</v>
      </c>
      <c r="Z93" s="494" t="s">
        <v>25</v>
      </c>
      <c r="AA93" s="496" t="s">
        <v>26</v>
      </c>
      <c r="AB93" s="504" t="s">
        <v>24</v>
      </c>
      <c r="AC93" s="494" t="s">
        <v>25</v>
      </c>
      <c r="AD93" s="496" t="s">
        <v>26</v>
      </c>
      <c r="AE93" s="504" t="s">
        <v>24</v>
      </c>
      <c r="AF93" s="494" t="s">
        <v>25</v>
      </c>
      <c r="AG93" s="496" t="s">
        <v>26</v>
      </c>
      <c r="AH93" s="504" t="s">
        <v>24</v>
      </c>
      <c r="AI93" s="494" t="s">
        <v>25</v>
      </c>
      <c r="AJ93" s="496" t="s">
        <v>26</v>
      </c>
      <c r="AK93" s="504" t="s">
        <v>24</v>
      </c>
      <c r="AL93" s="494" t="s">
        <v>25</v>
      </c>
      <c r="AM93" s="496" t="s">
        <v>26</v>
      </c>
      <c r="AN93" s="504" t="s">
        <v>24</v>
      </c>
      <c r="AO93" s="494" t="s">
        <v>25</v>
      </c>
      <c r="AP93" s="496" t="s">
        <v>26</v>
      </c>
      <c r="AQ93" s="504" t="s">
        <v>24</v>
      </c>
      <c r="AR93" s="494" t="s">
        <v>25</v>
      </c>
      <c r="AS93" s="496" t="s">
        <v>26</v>
      </c>
      <c r="AT93" s="536" t="s">
        <v>24</v>
      </c>
      <c r="AU93" s="513" t="s">
        <v>27</v>
      </c>
    </row>
    <row r="94" spans="1:47" ht="15.75" customHeight="1">
      <c r="A94" s="775"/>
      <c r="B94" s="543"/>
      <c r="C94" s="525"/>
      <c r="D94" s="525"/>
      <c r="E94" s="777"/>
      <c r="F94" s="493"/>
      <c r="G94" s="505"/>
      <c r="H94" s="495"/>
      <c r="I94" s="497"/>
      <c r="J94" s="505"/>
      <c r="K94" s="495"/>
      <c r="L94" s="497"/>
      <c r="M94" s="505"/>
      <c r="N94" s="495"/>
      <c r="O94" s="497"/>
      <c r="P94" s="505"/>
      <c r="Q94" s="495"/>
      <c r="R94" s="497"/>
      <c r="S94" s="505"/>
      <c r="T94" s="495"/>
      <c r="U94" s="497"/>
      <c r="V94" s="505"/>
      <c r="W94" s="495"/>
      <c r="X94" s="497"/>
      <c r="Y94" s="505"/>
      <c r="Z94" s="495"/>
      <c r="AA94" s="497"/>
      <c r="AB94" s="505"/>
      <c r="AC94" s="495"/>
      <c r="AD94" s="497"/>
      <c r="AE94" s="505"/>
      <c r="AF94" s="495"/>
      <c r="AG94" s="497"/>
      <c r="AH94" s="505"/>
      <c r="AI94" s="495"/>
      <c r="AJ94" s="497"/>
      <c r="AK94" s="505"/>
      <c r="AL94" s="495"/>
      <c r="AM94" s="497"/>
      <c r="AN94" s="505"/>
      <c r="AO94" s="495"/>
      <c r="AP94" s="497"/>
      <c r="AQ94" s="505"/>
      <c r="AR94" s="495"/>
      <c r="AS94" s="497"/>
      <c r="AT94" s="537"/>
      <c r="AU94" s="514"/>
    </row>
    <row r="95" spans="1:47" ht="15" customHeight="1">
      <c r="A95" s="760" t="s">
        <v>228</v>
      </c>
      <c r="B95" s="763" t="s">
        <v>452</v>
      </c>
      <c r="C95" s="766">
        <v>2104</v>
      </c>
      <c r="D95" s="769"/>
      <c r="E95" s="716" t="s">
        <v>622</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761"/>
      <c r="B96" s="764"/>
      <c r="C96" s="767"/>
      <c r="D96" s="770"/>
      <c r="E96" s="772"/>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761"/>
      <c r="B97" s="764"/>
      <c r="C97" s="767"/>
      <c r="D97" s="770"/>
      <c r="E97" s="772"/>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761"/>
      <c r="B98" s="764"/>
      <c r="C98" s="767"/>
      <c r="D98" s="770"/>
      <c r="E98" s="772"/>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761"/>
      <c r="B99" s="764"/>
      <c r="C99" s="767"/>
      <c r="D99" s="770"/>
      <c r="E99" s="772"/>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761"/>
      <c r="B100" s="764"/>
      <c r="C100" s="767"/>
      <c r="D100" s="770"/>
      <c r="E100" s="772"/>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761"/>
      <c r="B101" s="764"/>
      <c r="C101" s="767"/>
      <c r="D101" s="770"/>
      <c r="E101" s="772"/>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761"/>
      <c r="B102" s="764"/>
      <c r="C102" s="767"/>
      <c r="D102" s="770"/>
      <c r="E102" s="772"/>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762"/>
      <c r="B103" s="765"/>
      <c r="C103" s="768"/>
      <c r="D103" s="771"/>
      <c r="E103" s="773"/>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774" t="s">
        <v>22</v>
      </c>
      <c r="B104" s="542" t="s">
        <v>18</v>
      </c>
      <c r="C104" s="524" t="s">
        <v>19</v>
      </c>
      <c r="D104" s="524" t="s">
        <v>203</v>
      </c>
      <c r="E104" s="776" t="s">
        <v>21</v>
      </c>
      <c r="F104" s="492" t="s">
        <v>23</v>
      </c>
      <c r="G104" s="504" t="s">
        <v>24</v>
      </c>
      <c r="H104" s="494" t="s">
        <v>25</v>
      </c>
      <c r="I104" s="496" t="s">
        <v>26</v>
      </c>
      <c r="J104" s="504" t="s">
        <v>24</v>
      </c>
      <c r="K104" s="494" t="s">
        <v>25</v>
      </c>
      <c r="L104" s="496" t="s">
        <v>26</v>
      </c>
      <c r="M104" s="504" t="s">
        <v>24</v>
      </c>
      <c r="N104" s="494" t="s">
        <v>25</v>
      </c>
      <c r="O104" s="496" t="s">
        <v>26</v>
      </c>
      <c r="P104" s="504" t="s">
        <v>24</v>
      </c>
      <c r="Q104" s="494" t="s">
        <v>25</v>
      </c>
      <c r="R104" s="496" t="s">
        <v>26</v>
      </c>
      <c r="S104" s="504" t="s">
        <v>24</v>
      </c>
      <c r="T104" s="494" t="s">
        <v>25</v>
      </c>
      <c r="U104" s="496" t="s">
        <v>26</v>
      </c>
      <c r="V104" s="504" t="s">
        <v>24</v>
      </c>
      <c r="W104" s="494" t="s">
        <v>25</v>
      </c>
      <c r="X104" s="496" t="s">
        <v>26</v>
      </c>
      <c r="Y104" s="504" t="s">
        <v>24</v>
      </c>
      <c r="Z104" s="494" t="s">
        <v>25</v>
      </c>
      <c r="AA104" s="496" t="s">
        <v>26</v>
      </c>
      <c r="AB104" s="504" t="s">
        <v>24</v>
      </c>
      <c r="AC104" s="494" t="s">
        <v>25</v>
      </c>
      <c r="AD104" s="496" t="s">
        <v>26</v>
      </c>
      <c r="AE104" s="504" t="s">
        <v>24</v>
      </c>
      <c r="AF104" s="494" t="s">
        <v>25</v>
      </c>
      <c r="AG104" s="496" t="s">
        <v>26</v>
      </c>
      <c r="AH104" s="504" t="s">
        <v>24</v>
      </c>
      <c r="AI104" s="494" t="s">
        <v>25</v>
      </c>
      <c r="AJ104" s="496" t="s">
        <v>26</v>
      </c>
      <c r="AK104" s="504" t="s">
        <v>24</v>
      </c>
      <c r="AL104" s="494" t="s">
        <v>25</v>
      </c>
      <c r="AM104" s="496" t="s">
        <v>26</v>
      </c>
      <c r="AN104" s="504" t="s">
        <v>24</v>
      </c>
      <c r="AO104" s="494" t="s">
        <v>25</v>
      </c>
      <c r="AP104" s="496" t="s">
        <v>26</v>
      </c>
      <c r="AQ104" s="504" t="s">
        <v>24</v>
      </c>
      <c r="AR104" s="494" t="s">
        <v>25</v>
      </c>
      <c r="AS104" s="496" t="s">
        <v>26</v>
      </c>
      <c r="AT104" s="604" t="s">
        <v>24</v>
      </c>
      <c r="AU104" s="513" t="s">
        <v>27</v>
      </c>
    </row>
    <row r="105" spans="1:47">
      <c r="A105" s="775"/>
      <c r="B105" s="543"/>
      <c r="C105" s="525"/>
      <c r="D105" s="525"/>
      <c r="E105" s="777"/>
      <c r="F105" s="493"/>
      <c r="G105" s="505"/>
      <c r="H105" s="495"/>
      <c r="I105" s="497"/>
      <c r="J105" s="505"/>
      <c r="K105" s="495"/>
      <c r="L105" s="497"/>
      <c r="M105" s="505"/>
      <c r="N105" s="495"/>
      <c r="O105" s="497"/>
      <c r="P105" s="505"/>
      <c r="Q105" s="495"/>
      <c r="R105" s="497"/>
      <c r="S105" s="505"/>
      <c r="T105" s="495"/>
      <c r="U105" s="497"/>
      <c r="V105" s="505"/>
      <c r="W105" s="495"/>
      <c r="X105" s="497"/>
      <c r="Y105" s="505"/>
      <c r="Z105" s="495"/>
      <c r="AA105" s="497"/>
      <c r="AB105" s="505"/>
      <c r="AC105" s="495"/>
      <c r="AD105" s="497"/>
      <c r="AE105" s="505"/>
      <c r="AF105" s="495"/>
      <c r="AG105" s="497"/>
      <c r="AH105" s="505"/>
      <c r="AI105" s="495"/>
      <c r="AJ105" s="497"/>
      <c r="AK105" s="505"/>
      <c r="AL105" s="495"/>
      <c r="AM105" s="497"/>
      <c r="AN105" s="505"/>
      <c r="AO105" s="495"/>
      <c r="AP105" s="497"/>
      <c r="AQ105" s="505"/>
      <c r="AR105" s="495"/>
      <c r="AS105" s="497"/>
      <c r="AT105" s="588"/>
      <c r="AU105" s="514"/>
    </row>
    <row r="106" spans="1:47" ht="15" customHeight="1">
      <c r="A106" s="760" t="s">
        <v>204</v>
      </c>
      <c r="B106" s="763" t="s">
        <v>623</v>
      </c>
      <c r="C106" s="766">
        <v>2539</v>
      </c>
      <c r="D106" s="805" t="s">
        <v>624</v>
      </c>
      <c r="E106" s="716" t="s">
        <v>625</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761"/>
      <c r="B107" s="764"/>
      <c r="C107" s="767"/>
      <c r="D107" s="806"/>
      <c r="E107" s="772"/>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761"/>
      <c r="B108" s="764"/>
      <c r="C108" s="767"/>
      <c r="D108" s="806"/>
      <c r="E108" s="772"/>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-57489</v>
      </c>
      <c r="X108" s="462">
        <v>242689</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761"/>
      <c r="B109" s="764"/>
      <c r="C109" s="767"/>
      <c r="D109" s="806"/>
      <c r="E109" s="772"/>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4982511</v>
      </c>
    </row>
    <row r="110" spans="1:47">
      <c r="A110" s="761"/>
      <c r="B110" s="764"/>
      <c r="C110" s="767"/>
      <c r="D110" s="806"/>
      <c r="E110" s="772"/>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761"/>
      <c r="B111" s="764"/>
      <c r="C111" s="767"/>
      <c r="D111" s="806"/>
      <c r="E111" s="772"/>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485378</v>
      </c>
    </row>
    <row r="112" spans="1:47">
      <c r="A112" s="761"/>
      <c r="B112" s="764"/>
      <c r="C112" s="767"/>
      <c r="D112" s="806"/>
      <c r="E112" s="772"/>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761"/>
      <c r="B113" s="764"/>
      <c r="C113" s="767"/>
      <c r="D113" s="806"/>
      <c r="E113" s="772"/>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8.8768810047168106E-2</v>
      </c>
    </row>
    <row r="114" spans="1:47" ht="15.75" customHeight="1">
      <c r="A114" s="762"/>
      <c r="B114" s="765"/>
      <c r="C114" s="768"/>
      <c r="D114" s="807"/>
      <c r="E114" s="773"/>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774" t="s">
        <v>22</v>
      </c>
      <c r="B115" s="542" t="s">
        <v>18</v>
      </c>
      <c r="C115" s="524" t="s">
        <v>19</v>
      </c>
      <c r="D115" s="524" t="s">
        <v>203</v>
      </c>
      <c r="E115" s="776" t="s">
        <v>21</v>
      </c>
      <c r="F115" s="492" t="s">
        <v>23</v>
      </c>
      <c r="G115" s="504" t="s">
        <v>24</v>
      </c>
      <c r="H115" s="494" t="s">
        <v>25</v>
      </c>
      <c r="I115" s="496" t="s">
        <v>26</v>
      </c>
      <c r="J115" s="504" t="s">
        <v>24</v>
      </c>
      <c r="K115" s="494" t="s">
        <v>25</v>
      </c>
      <c r="L115" s="496" t="s">
        <v>26</v>
      </c>
      <c r="M115" s="504" t="s">
        <v>24</v>
      </c>
      <c r="N115" s="494" t="s">
        <v>25</v>
      </c>
      <c r="O115" s="496" t="s">
        <v>26</v>
      </c>
      <c r="P115" s="504" t="s">
        <v>24</v>
      </c>
      <c r="Q115" s="494" t="s">
        <v>25</v>
      </c>
      <c r="R115" s="496" t="s">
        <v>26</v>
      </c>
      <c r="S115" s="504" t="s">
        <v>24</v>
      </c>
      <c r="T115" s="494" t="s">
        <v>25</v>
      </c>
      <c r="U115" s="496" t="s">
        <v>26</v>
      </c>
      <c r="V115" s="504" t="s">
        <v>24</v>
      </c>
      <c r="W115" s="494" t="s">
        <v>25</v>
      </c>
      <c r="X115" s="496" t="s">
        <v>26</v>
      </c>
      <c r="Y115" s="504" t="s">
        <v>24</v>
      </c>
      <c r="Z115" s="494" t="s">
        <v>25</v>
      </c>
      <c r="AA115" s="496" t="s">
        <v>26</v>
      </c>
      <c r="AB115" s="504" t="s">
        <v>24</v>
      </c>
      <c r="AC115" s="494" t="s">
        <v>25</v>
      </c>
      <c r="AD115" s="496" t="s">
        <v>26</v>
      </c>
      <c r="AE115" s="504" t="s">
        <v>24</v>
      </c>
      <c r="AF115" s="494" t="s">
        <v>25</v>
      </c>
      <c r="AG115" s="496" t="s">
        <v>26</v>
      </c>
      <c r="AH115" s="504" t="s">
        <v>24</v>
      </c>
      <c r="AI115" s="494" t="s">
        <v>25</v>
      </c>
      <c r="AJ115" s="496" t="s">
        <v>26</v>
      </c>
      <c r="AK115" s="504" t="s">
        <v>24</v>
      </c>
      <c r="AL115" s="494" t="s">
        <v>25</v>
      </c>
      <c r="AM115" s="496" t="s">
        <v>26</v>
      </c>
      <c r="AN115" s="504" t="s">
        <v>24</v>
      </c>
      <c r="AO115" s="494" t="s">
        <v>25</v>
      </c>
      <c r="AP115" s="496" t="s">
        <v>26</v>
      </c>
      <c r="AQ115" s="504" t="s">
        <v>24</v>
      </c>
      <c r="AR115" s="494" t="s">
        <v>25</v>
      </c>
      <c r="AS115" s="496" t="s">
        <v>26</v>
      </c>
      <c r="AT115" s="604" t="s">
        <v>24</v>
      </c>
      <c r="AU115" s="513" t="s">
        <v>27</v>
      </c>
    </row>
    <row r="116" spans="1:47">
      <c r="A116" s="775"/>
      <c r="B116" s="543"/>
      <c r="C116" s="525"/>
      <c r="D116" s="525"/>
      <c r="E116" s="777"/>
      <c r="F116" s="493"/>
      <c r="G116" s="505"/>
      <c r="H116" s="495"/>
      <c r="I116" s="497"/>
      <c r="J116" s="505"/>
      <c r="K116" s="495"/>
      <c r="L116" s="497"/>
      <c r="M116" s="505"/>
      <c r="N116" s="495"/>
      <c r="O116" s="497"/>
      <c r="P116" s="505"/>
      <c r="Q116" s="495"/>
      <c r="R116" s="497"/>
      <c r="S116" s="505"/>
      <c r="T116" s="495"/>
      <c r="U116" s="497"/>
      <c r="V116" s="505"/>
      <c r="W116" s="495"/>
      <c r="X116" s="497"/>
      <c r="Y116" s="505"/>
      <c r="Z116" s="495"/>
      <c r="AA116" s="497"/>
      <c r="AB116" s="505"/>
      <c r="AC116" s="495"/>
      <c r="AD116" s="497"/>
      <c r="AE116" s="505"/>
      <c r="AF116" s="495"/>
      <c r="AG116" s="497"/>
      <c r="AH116" s="505"/>
      <c r="AI116" s="495"/>
      <c r="AJ116" s="497"/>
      <c r="AK116" s="505"/>
      <c r="AL116" s="495"/>
      <c r="AM116" s="497"/>
      <c r="AN116" s="505"/>
      <c r="AO116" s="495"/>
      <c r="AP116" s="497"/>
      <c r="AQ116" s="505"/>
      <c r="AR116" s="495"/>
      <c r="AS116" s="497"/>
      <c r="AT116" s="588"/>
      <c r="AU116" s="514"/>
    </row>
    <row r="117" spans="1:47" ht="15" customHeight="1">
      <c r="A117" s="760" t="s">
        <v>204</v>
      </c>
      <c r="B117" s="763" t="s">
        <v>626</v>
      </c>
      <c r="C117" s="766">
        <v>2898</v>
      </c>
      <c r="D117" s="769" t="s">
        <v>627</v>
      </c>
      <c r="E117" s="716" t="s">
        <v>628</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761"/>
      <c r="B118" s="764"/>
      <c r="C118" s="767"/>
      <c r="D118" s="770"/>
      <c r="E118" s="772"/>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761"/>
      <c r="B119" s="764"/>
      <c r="C119" s="767"/>
      <c r="D119" s="770"/>
      <c r="E119" s="772"/>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761"/>
      <c r="B120" s="764"/>
      <c r="C120" s="767"/>
      <c r="D120" s="770"/>
      <c r="E120" s="772"/>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761"/>
      <c r="B121" s="764"/>
      <c r="C121" s="767"/>
      <c r="D121" s="770"/>
      <c r="E121" s="772"/>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761"/>
      <c r="B122" s="764"/>
      <c r="C122" s="767"/>
      <c r="D122" s="770"/>
      <c r="E122" s="772"/>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761"/>
      <c r="B123" s="764"/>
      <c r="C123" s="767"/>
      <c r="D123" s="770"/>
      <c r="E123" s="772"/>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761"/>
      <c r="B124" s="764"/>
      <c r="C124" s="767"/>
      <c r="D124" s="770"/>
      <c r="E124" s="772"/>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762"/>
      <c r="B125" s="765"/>
      <c r="C125" s="768"/>
      <c r="D125" s="771"/>
      <c r="E125" s="773"/>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774" t="s">
        <v>22</v>
      </c>
      <c r="B126" s="542" t="s">
        <v>18</v>
      </c>
      <c r="C126" s="524" t="s">
        <v>19</v>
      </c>
      <c r="D126" s="524" t="s">
        <v>203</v>
      </c>
      <c r="E126" s="776" t="s">
        <v>21</v>
      </c>
      <c r="F126" s="492" t="s">
        <v>23</v>
      </c>
      <c r="G126" s="504" t="s">
        <v>24</v>
      </c>
      <c r="H126" s="494" t="s">
        <v>25</v>
      </c>
      <c r="I126" s="496" t="s">
        <v>26</v>
      </c>
      <c r="J126" s="504" t="s">
        <v>24</v>
      </c>
      <c r="K126" s="494" t="s">
        <v>25</v>
      </c>
      <c r="L126" s="496" t="s">
        <v>26</v>
      </c>
      <c r="M126" s="504" t="s">
        <v>24</v>
      </c>
      <c r="N126" s="494" t="s">
        <v>25</v>
      </c>
      <c r="O126" s="496" t="s">
        <v>26</v>
      </c>
      <c r="P126" s="504" t="s">
        <v>24</v>
      </c>
      <c r="Q126" s="494" t="s">
        <v>25</v>
      </c>
      <c r="R126" s="496" t="s">
        <v>26</v>
      </c>
      <c r="S126" s="504" t="s">
        <v>24</v>
      </c>
      <c r="T126" s="494" t="s">
        <v>25</v>
      </c>
      <c r="U126" s="496" t="s">
        <v>26</v>
      </c>
      <c r="V126" s="504" t="s">
        <v>24</v>
      </c>
      <c r="W126" s="494" t="s">
        <v>25</v>
      </c>
      <c r="X126" s="496" t="s">
        <v>26</v>
      </c>
      <c r="Y126" s="504" t="s">
        <v>24</v>
      </c>
      <c r="Z126" s="494" t="s">
        <v>25</v>
      </c>
      <c r="AA126" s="496" t="s">
        <v>26</v>
      </c>
      <c r="AB126" s="504" t="s">
        <v>24</v>
      </c>
      <c r="AC126" s="494" t="s">
        <v>25</v>
      </c>
      <c r="AD126" s="496" t="s">
        <v>26</v>
      </c>
      <c r="AE126" s="504" t="s">
        <v>24</v>
      </c>
      <c r="AF126" s="494" t="s">
        <v>25</v>
      </c>
      <c r="AG126" s="496" t="s">
        <v>26</v>
      </c>
      <c r="AH126" s="504" t="s">
        <v>24</v>
      </c>
      <c r="AI126" s="494" t="s">
        <v>25</v>
      </c>
      <c r="AJ126" s="496" t="s">
        <v>26</v>
      </c>
      <c r="AK126" s="504" t="s">
        <v>24</v>
      </c>
      <c r="AL126" s="494" t="s">
        <v>25</v>
      </c>
      <c r="AM126" s="496" t="s">
        <v>26</v>
      </c>
      <c r="AN126" s="504" t="s">
        <v>24</v>
      </c>
      <c r="AO126" s="494" t="s">
        <v>25</v>
      </c>
      <c r="AP126" s="496" t="s">
        <v>26</v>
      </c>
      <c r="AQ126" s="504" t="s">
        <v>24</v>
      </c>
      <c r="AR126" s="494" t="s">
        <v>25</v>
      </c>
      <c r="AS126" s="496" t="s">
        <v>26</v>
      </c>
      <c r="AT126" s="604" t="s">
        <v>24</v>
      </c>
      <c r="AU126" s="513" t="s">
        <v>27</v>
      </c>
    </row>
    <row r="127" spans="1:47">
      <c r="A127" s="775"/>
      <c r="B127" s="543"/>
      <c r="C127" s="525"/>
      <c r="D127" s="525"/>
      <c r="E127" s="777"/>
      <c r="F127" s="493"/>
      <c r="G127" s="505"/>
      <c r="H127" s="495"/>
      <c r="I127" s="497"/>
      <c r="J127" s="505"/>
      <c r="K127" s="495"/>
      <c r="L127" s="497"/>
      <c r="M127" s="505"/>
      <c r="N127" s="495"/>
      <c r="O127" s="497"/>
      <c r="P127" s="505"/>
      <c r="Q127" s="495"/>
      <c r="R127" s="497"/>
      <c r="S127" s="505"/>
      <c r="T127" s="495"/>
      <c r="U127" s="497"/>
      <c r="V127" s="505"/>
      <c r="W127" s="495"/>
      <c r="X127" s="497"/>
      <c r="Y127" s="505"/>
      <c r="Z127" s="495"/>
      <c r="AA127" s="497"/>
      <c r="AB127" s="505"/>
      <c r="AC127" s="495"/>
      <c r="AD127" s="497"/>
      <c r="AE127" s="505"/>
      <c r="AF127" s="495"/>
      <c r="AG127" s="497"/>
      <c r="AH127" s="505"/>
      <c r="AI127" s="495"/>
      <c r="AJ127" s="497"/>
      <c r="AK127" s="505"/>
      <c r="AL127" s="495"/>
      <c r="AM127" s="497"/>
      <c r="AN127" s="505"/>
      <c r="AO127" s="495"/>
      <c r="AP127" s="497"/>
      <c r="AQ127" s="505"/>
      <c r="AR127" s="495"/>
      <c r="AS127" s="497"/>
      <c r="AT127" s="588"/>
      <c r="AU127" s="514"/>
    </row>
    <row r="128" spans="1:47" ht="15" customHeight="1">
      <c r="A128" s="760" t="s">
        <v>204</v>
      </c>
      <c r="B128" s="763" t="s">
        <v>491</v>
      </c>
      <c r="C128" s="766">
        <v>2540</v>
      </c>
      <c r="D128" s="769" t="s">
        <v>629</v>
      </c>
      <c r="E128" s="716" t="s">
        <v>493</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761"/>
      <c r="B129" s="764"/>
      <c r="C129" s="767"/>
      <c r="D129" s="770"/>
      <c r="E129" s="772"/>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761"/>
      <c r="B130" s="764"/>
      <c r="C130" s="767"/>
      <c r="D130" s="770"/>
      <c r="E130" s="772"/>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761"/>
      <c r="B131" s="764"/>
      <c r="C131" s="767"/>
      <c r="D131" s="770"/>
      <c r="E131" s="772"/>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761"/>
      <c r="B132" s="764"/>
      <c r="C132" s="767"/>
      <c r="D132" s="770"/>
      <c r="E132" s="772"/>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761"/>
      <c r="B133" s="764"/>
      <c r="C133" s="767"/>
      <c r="D133" s="770"/>
      <c r="E133" s="772"/>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5">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761"/>
      <c r="B134" s="764"/>
      <c r="C134" s="767"/>
      <c r="D134" s="770"/>
      <c r="E134" s="772"/>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761"/>
      <c r="B135" s="764"/>
      <c r="C135" s="767"/>
      <c r="D135" s="770"/>
      <c r="E135" s="772"/>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778"/>
      <c r="B136" s="779"/>
      <c r="C136" s="780"/>
      <c r="D136" s="781"/>
      <c r="E136" s="782"/>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774" t="s">
        <v>22</v>
      </c>
      <c r="B137" s="542" t="s">
        <v>18</v>
      </c>
      <c r="C137" s="524" t="s">
        <v>19</v>
      </c>
      <c r="D137" s="524" t="s">
        <v>203</v>
      </c>
      <c r="E137" s="776" t="s">
        <v>21</v>
      </c>
      <c r="F137" s="492" t="s">
        <v>23</v>
      </c>
      <c r="G137" s="504" t="s">
        <v>24</v>
      </c>
      <c r="H137" s="494" t="s">
        <v>25</v>
      </c>
      <c r="I137" s="496" t="s">
        <v>26</v>
      </c>
      <c r="J137" s="504" t="s">
        <v>24</v>
      </c>
      <c r="K137" s="494" t="s">
        <v>25</v>
      </c>
      <c r="L137" s="496" t="s">
        <v>26</v>
      </c>
      <c r="M137" s="504" t="s">
        <v>24</v>
      </c>
      <c r="N137" s="494" t="s">
        <v>25</v>
      </c>
      <c r="O137" s="496" t="s">
        <v>26</v>
      </c>
      <c r="P137" s="504" t="s">
        <v>24</v>
      </c>
      <c r="Q137" s="494" t="s">
        <v>25</v>
      </c>
      <c r="R137" s="496" t="s">
        <v>26</v>
      </c>
      <c r="S137" s="504" t="s">
        <v>24</v>
      </c>
      <c r="T137" s="494" t="s">
        <v>25</v>
      </c>
      <c r="U137" s="496" t="s">
        <v>26</v>
      </c>
      <c r="V137" s="504" t="s">
        <v>24</v>
      </c>
      <c r="W137" s="494" t="s">
        <v>25</v>
      </c>
      <c r="X137" s="496" t="s">
        <v>26</v>
      </c>
      <c r="Y137" s="504" t="s">
        <v>24</v>
      </c>
      <c r="Z137" s="494" t="s">
        <v>25</v>
      </c>
      <c r="AA137" s="496" t="s">
        <v>26</v>
      </c>
      <c r="AB137" s="504" t="s">
        <v>24</v>
      </c>
      <c r="AC137" s="494" t="s">
        <v>25</v>
      </c>
      <c r="AD137" s="496" t="s">
        <v>26</v>
      </c>
      <c r="AE137" s="504" t="s">
        <v>24</v>
      </c>
      <c r="AF137" s="494" t="s">
        <v>25</v>
      </c>
      <c r="AG137" s="496" t="s">
        <v>26</v>
      </c>
      <c r="AH137" s="504" t="s">
        <v>24</v>
      </c>
      <c r="AI137" s="494" t="s">
        <v>25</v>
      </c>
      <c r="AJ137" s="496" t="s">
        <v>26</v>
      </c>
      <c r="AK137" s="504" t="s">
        <v>24</v>
      </c>
      <c r="AL137" s="494" t="s">
        <v>25</v>
      </c>
      <c r="AM137" s="496" t="s">
        <v>26</v>
      </c>
      <c r="AN137" s="504" t="s">
        <v>24</v>
      </c>
      <c r="AO137" s="494" t="s">
        <v>25</v>
      </c>
      <c r="AP137" s="496" t="s">
        <v>26</v>
      </c>
      <c r="AQ137" s="504" t="s">
        <v>24</v>
      </c>
      <c r="AR137" s="494" t="s">
        <v>25</v>
      </c>
      <c r="AS137" s="496" t="s">
        <v>26</v>
      </c>
      <c r="AT137" s="604" t="s">
        <v>24</v>
      </c>
      <c r="AU137" s="513" t="s">
        <v>27</v>
      </c>
    </row>
    <row r="138" spans="1:47">
      <c r="A138" s="775"/>
      <c r="B138" s="543"/>
      <c r="C138" s="525"/>
      <c r="D138" s="525"/>
      <c r="E138" s="777"/>
      <c r="F138" s="493"/>
      <c r="G138" s="505"/>
      <c r="H138" s="495"/>
      <c r="I138" s="497"/>
      <c r="J138" s="505"/>
      <c r="K138" s="495"/>
      <c r="L138" s="497"/>
      <c r="M138" s="505"/>
      <c r="N138" s="495"/>
      <c r="O138" s="497"/>
      <c r="P138" s="505"/>
      <c r="Q138" s="495"/>
      <c r="R138" s="497"/>
      <c r="S138" s="505"/>
      <c r="T138" s="495"/>
      <c r="U138" s="497"/>
      <c r="V138" s="505"/>
      <c r="W138" s="495"/>
      <c r="X138" s="497"/>
      <c r="Y138" s="505"/>
      <c r="Z138" s="495"/>
      <c r="AA138" s="497"/>
      <c r="AB138" s="505"/>
      <c r="AC138" s="495"/>
      <c r="AD138" s="497"/>
      <c r="AE138" s="505"/>
      <c r="AF138" s="495"/>
      <c r="AG138" s="497"/>
      <c r="AH138" s="505"/>
      <c r="AI138" s="495"/>
      <c r="AJ138" s="497"/>
      <c r="AK138" s="505"/>
      <c r="AL138" s="495"/>
      <c r="AM138" s="497"/>
      <c r="AN138" s="505"/>
      <c r="AO138" s="495"/>
      <c r="AP138" s="497"/>
      <c r="AQ138" s="505"/>
      <c r="AR138" s="495"/>
      <c r="AS138" s="497"/>
      <c r="AT138" s="588"/>
      <c r="AU138" s="514"/>
    </row>
    <row r="139" spans="1:47" ht="15" customHeight="1">
      <c r="A139" s="526" t="s">
        <v>204</v>
      </c>
      <c r="B139" s="540" t="s">
        <v>630</v>
      </c>
      <c r="C139" s="528">
        <v>3024</v>
      </c>
      <c r="D139" s="530" t="s">
        <v>631</v>
      </c>
      <c r="E139" s="532" t="s">
        <v>632</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526"/>
      <c r="B140" s="540"/>
      <c r="C140" s="528"/>
      <c r="D140" s="530"/>
      <c r="E140" s="532"/>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526"/>
      <c r="B141" s="540"/>
      <c r="C141" s="528"/>
      <c r="D141" s="530"/>
      <c r="E141" s="532"/>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526"/>
      <c r="B142" s="540"/>
      <c r="C142" s="528"/>
      <c r="D142" s="530"/>
      <c r="E142" s="532"/>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526"/>
      <c r="B143" s="540"/>
      <c r="C143" s="528"/>
      <c r="D143" s="530"/>
      <c r="E143" s="532"/>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526"/>
      <c r="B144" s="540"/>
      <c r="C144" s="528"/>
      <c r="D144" s="530"/>
      <c r="E144" s="532"/>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5"/>
      <c r="AC144" s="166">
        <f t="shared" si="163"/>
        <v>0</v>
      </c>
      <c r="AD144" s="167"/>
      <c r="AE144" s="13"/>
      <c r="AF144" s="11">
        <f t="shared" si="164"/>
        <v>0</v>
      </c>
      <c r="AG144" s="12"/>
      <c r="AH144" s="13"/>
      <c r="AI144" s="11">
        <f t="shared" si="165"/>
        <v>0</v>
      </c>
      <c r="AJ144" s="12"/>
      <c r="AK144" s="195">
        <v>500000</v>
      </c>
      <c r="AL144" s="166">
        <f t="shared" si="166"/>
        <v>500000</v>
      </c>
      <c r="AM144" s="167"/>
      <c r="AN144" s="195"/>
      <c r="AO144" s="166">
        <f t="shared" si="167"/>
        <v>0</v>
      </c>
      <c r="AP144" s="167"/>
      <c r="AQ144" s="195"/>
      <c r="AR144" s="166">
        <f t="shared" si="168"/>
        <v>0</v>
      </c>
      <c r="AS144" s="167"/>
      <c r="AT144" s="14"/>
      <c r="AU144" s="63">
        <f>SUM(I139:I147,L139:L147,O139:O147,R139:R147,U139:U147,X139:X147,AA139:AA147,AD139:AD147,AG139:AG147,AJ139:AJ147,AS139:AS147,AM139:AM147,AP139:AP147)</f>
        <v>0</v>
      </c>
    </row>
    <row r="145" spans="1:47">
      <c r="A145" s="526"/>
      <c r="B145" s="540"/>
      <c r="C145" s="528"/>
      <c r="D145" s="530"/>
      <c r="E145" s="532"/>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526"/>
      <c r="B146" s="540"/>
      <c r="C146" s="528"/>
      <c r="D146" s="530"/>
      <c r="E146" s="532"/>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527"/>
      <c r="B147" s="541"/>
      <c r="C147" s="529"/>
      <c r="D147" s="531"/>
      <c r="E147" s="533"/>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774" t="s">
        <v>22</v>
      </c>
      <c r="B148" s="542" t="s">
        <v>18</v>
      </c>
      <c r="C148" s="524" t="s">
        <v>19</v>
      </c>
      <c r="D148" s="524" t="s">
        <v>203</v>
      </c>
      <c r="E148" s="776" t="s">
        <v>21</v>
      </c>
      <c r="F148" s="492" t="s">
        <v>23</v>
      </c>
      <c r="G148" s="504" t="s">
        <v>24</v>
      </c>
      <c r="H148" s="494" t="s">
        <v>25</v>
      </c>
      <c r="I148" s="496" t="s">
        <v>26</v>
      </c>
      <c r="J148" s="504" t="s">
        <v>24</v>
      </c>
      <c r="K148" s="494" t="s">
        <v>25</v>
      </c>
      <c r="L148" s="496" t="s">
        <v>26</v>
      </c>
      <c r="M148" s="504" t="s">
        <v>24</v>
      </c>
      <c r="N148" s="494" t="s">
        <v>25</v>
      </c>
      <c r="O148" s="496" t="s">
        <v>26</v>
      </c>
      <c r="P148" s="504" t="s">
        <v>24</v>
      </c>
      <c r="Q148" s="494" t="s">
        <v>25</v>
      </c>
      <c r="R148" s="496" t="s">
        <v>26</v>
      </c>
      <c r="S148" s="504" t="s">
        <v>24</v>
      </c>
      <c r="T148" s="494" t="s">
        <v>25</v>
      </c>
      <c r="U148" s="496" t="s">
        <v>26</v>
      </c>
      <c r="V148" s="504" t="s">
        <v>24</v>
      </c>
      <c r="W148" s="494" t="s">
        <v>25</v>
      </c>
      <c r="X148" s="496" t="s">
        <v>26</v>
      </c>
      <c r="Y148" s="504" t="s">
        <v>24</v>
      </c>
      <c r="Z148" s="494" t="s">
        <v>25</v>
      </c>
      <c r="AA148" s="496" t="s">
        <v>26</v>
      </c>
      <c r="AB148" s="504" t="s">
        <v>24</v>
      </c>
      <c r="AC148" s="494" t="s">
        <v>25</v>
      </c>
      <c r="AD148" s="496" t="s">
        <v>26</v>
      </c>
      <c r="AE148" s="504" t="s">
        <v>24</v>
      </c>
      <c r="AF148" s="494" t="s">
        <v>25</v>
      </c>
      <c r="AG148" s="496" t="s">
        <v>26</v>
      </c>
      <c r="AH148" s="504" t="s">
        <v>24</v>
      </c>
      <c r="AI148" s="494" t="s">
        <v>25</v>
      </c>
      <c r="AJ148" s="496" t="s">
        <v>26</v>
      </c>
      <c r="AK148" s="504" t="s">
        <v>24</v>
      </c>
      <c r="AL148" s="494" t="s">
        <v>25</v>
      </c>
      <c r="AM148" s="496" t="s">
        <v>26</v>
      </c>
      <c r="AN148" s="504" t="s">
        <v>24</v>
      </c>
      <c r="AO148" s="494" t="s">
        <v>25</v>
      </c>
      <c r="AP148" s="496" t="s">
        <v>26</v>
      </c>
      <c r="AQ148" s="504" t="s">
        <v>24</v>
      </c>
      <c r="AR148" s="494" t="s">
        <v>25</v>
      </c>
      <c r="AS148" s="496" t="s">
        <v>26</v>
      </c>
      <c r="AT148" s="536" t="s">
        <v>24</v>
      </c>
      <c r="AU148" s="513" t="s">
        <v>27</v>
      </c>
    </row>
    <row r="149" spans="1:47">
      <c r="A149" s="775"/>
      <c r="B149" s="543"/>
      <c r="C149" s="525"/>
      <c r="D149" s="525"/>
      <c r="E149" s="777"/>
      <c r="F149" s="493"/>
      <c r="G149" s="505"/>
      <c r="H149" s="495"/>
      <c r="I149" s="497"/>
      <c r="J149" s="505"/>
      <c r="K149" s="495"/>
      <c r="L149" s="497"/>
      <c r="M149" s="505"/>
      <c r="N149" s="495"/>
      <c r="O149" s="497"/>
      <c r="P149" s="505"/>
      <c r="Q149" s="495"/>
      <c r="R149" s="497"/>
      <c r="S149" s="505"/>
      <c r="T149" s="495"/>
      <c r="U149" s="497"/>
      <c r="V149" s="505"/>
      <c r="W149" s="495"/>
      <c r="X149" s="497"/>
      <c r="Y149" s="505"/>
      <c r="Z149" s="495"/>
      <c r="AA149" s="497"/>
      <c r="AB149" s="505"/>
      <c r="AC149" s="495"/>
      <c r="AD149" s="497"/>
      <c r="AE149" s="505"/>
      <c r="AF149" s="495"/>
      <c r="AG149" s="497"/>
      <c r="AH149" s="505"/>
      <c r="AI149" s="495"/>
      <c r="AJ149" s="497"/>
      <c r="AK149" s="505"/>
      <c r="AL149" s="495"/>
      <c r="AM149" s="497"/>
      <c r="AN149" s="505"/>
      <c r="AO149" s="495"/>
      <c r="AP149" s="497"/>
      <c r="AQ149" s="505"/>
      <c r="AR149" s="495"/>
      <c r="AS149" s="497"/>
      <c r="AT149" s="537"/>
      <c r="AU149" s="514"/>
    </row>
    <row r="150" spans="1:47" ht="15" customHeight="1">
      <c r="A150" s="760" t="s">
        <v>246</v>
      </c>
      <c r="B150" s="763" t="s">
        <v>633</v>
      </c>
      <c r="C150" s="766">
        <v>2228</v>
      </c>
      <c r="D150" s="769" t="s">
        <v>634</v>
      </c>
      <c r="E150" s="716" t="s">
        <v>635</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761"/>
      <c r="B151" s="764"/>
      <c r="C151" s="767"/>
      <c r="D151" s="770"/>
      <c r="E151" s="772"/>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761"/>
      <c r="B152" s="764"/>
      <c r="C152" s="767"/>
      <c r="D152" s="770"/>
      <c r="E152" s="772"/>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761"/>
      <c r="B153" s="764"/>
      <c r="C153" s="767"/>
      <c r="D153" s="770"/>
      <c r="E153" s="772"/>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761"/>
      <c r="B154" s="764"/>
      <c r="C154" s="767"/>
      <c r="D154" s="770"/>
      <c r="E154" s="772"/>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761"/>
      <c r="B155" s="764"/>
      <c r="C155" s="767"/>
      <c r="D155" s="770"/>
      <c r="E155" s="772"/>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761"/>
      <c r="B156" s="764"/>
      <c r="C156" s="767"/>
      <c r="D156" s="770"/>
      <c r="E156" s="772"/>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761"/>
      <c r="B157" s="764"/>
      <c r="C157" s="767"/>
      <c r="D157" s="770"/>
      <c r="E157" s="772"/>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778"/>
      <c r="B158" s="779"/>
      <c r="C158" s="780"/>
      <c r="D158" s="781"/>
      <c r="E158" s="782"/>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774" t="s">
        <v>22</v>
      </c>
      <c r="B159" s="542" t="s">
        <v>18</v>
      </c>
      <c r="C159" s="524" t="s">
        <v>19</v>
      </c>
      <c r="D159" s="524" t="s">
        <v>203</v>
      </c>
      <c r="E159" s="776" t="s">
        <v>21</v>
      </c>
      <c r="F159" s="492" t="s">
        <v>23</v>
      </c>
      <c r="G159" s="465" t="s">
        <v>24</v>
      </c>
      <c r="H159" s="467" t="s">
        <v>25</v>
      </c>
      <c r="I159" s="469" t="s">
        <v>26</v>
      </c>
      <c r="J159" s="465" t="s">
        <v>24</v>
      </c>
      <c r="K159" s="467" t="s">
        <v>25</v>
      </c>
      <c r="L159" s="469" t="s">
        <v>26</v>
      </c>
      <c r="M159" s="465" t="s">
        <v>24</v>
      </c>
      <c r="N159" s="467" t="s">
        <v>25</v>
      </c>
      <c r="O159" s="469" t="s">
        <v>26</v>
      </c>
      <c r="P159" s="465" t="s">
        <v>24</v>
      </c>
      <c r="Q159" s="467" t="s">
        <v>25</v>
      </c>
      <c r="R159" s="469" t="s">
        <v>26</v>
      </c>
      <c r="S159" s="465" t="s">
        <v>24</v>
      </c>
      <c r="T159" s="467" t="s">
        <v>25</v>
      </c>
      <c r="U159" s="469" t="s">
        <v>26</v>
      </c>
      <c r="V159" s="465" t="s">
        <v>24</v>
      </c>
      <c r="W159" s="467" t="s">
        <v>25</v>
      </c>
      <c r="X159" s="469" t="s">
        <v>26</v>
      </c>
      <c r="Y159" s="465" t="s">
        <v>24</v>
      </c>
      <c r="Z159" s="467" t="s">
        <v>25</v>
      </c>
      <c r="AA159" s="469" t="s">
        <v>26</v>
      </c>
      <c r="AB159" s="465" t="s">
        <v>24</v>
      </c>
      <c r="AC159" s="467" t="s">
        <v>25</v>
      </c>
      <c r="AD159" s="469" t="s">
        <v>26</v>
      </c>
      <c r="AE159" s="465" t="s">
        <v>24</v>
      </c>
      <c r="AF159" s="467" t="s">
        <v>25</v>
      </c>
      <c r="AG159" s="469" t="s">
        <v>26</v>
      </c>
      <c r="AH159" s="465" t="s">
        <v>24</v>
      </c>
      <c r="AI159" s="467" t="s">
        <v>25</v>
      </c>
      <c r="AJ159" s="469" t="s">
        <v>26</v>
      </c>
      <c r="AK159" s="465" t="s">
        <v>24</v>
      </c>
      <c r="AL159" s="467" t="s">
        <v>25</v>
      </c>
      <c r="AM159" s="469" t="s">
        <v>26</v>
      </c>
      <c r="AN159" s="465" t="s">
        <v>24</v>
      </c>
      <c r="AO159" s="467" t="s">
        <v>25</v>
      </c>
      <c r="AP159" s="469" t="s">
        <v>26</v>
      </c>
      <c r="AQ159" s="465" t="s">
        <v>24</v>
      </c>
      <c r="AR159" s="467" t="s">
        <v>25</v>
      </c>
      <c r="AS159" s="469" t="s">
        <v>26</v>
      </c>
      <c r="AT159" s="536" t="s">
        <v>24</v>
      </c>
      <c r="AU159" s="513" t="s">
        <v>27</v>
      </c>
    </row>
    <row r="160" spans="1:47" ht="15.75" customHeight="1">
      <c r="A160" s="775"/>
      <c r="B160" s="543"/>
      <c r="C160" s="525"/>
      <c r="D160" s="525"/>
      <c r="E160" s="777"/>
      <c r="F160" s="493"/>
      <c r="G160" s="466"/>
      <c r="H160" s="468"/>
      <c r="I160" s="470"/>
      <c r="J160" s="466"/>
      <c r="K160" s="468"/>
      <c r="L160" s="470"/>
      <c r="M160" s="466"/>
      <c r="N160" s="468"/>
      <c r="O160" s="470"/>
      <c r="P160" s="466"/>
      <c r="Q160" s="468"/>
      <c r="R160" s="470"/>
      <c r="S160" s="466"/>
      <c r="T160" s="468"/>
      <c r="U160" s="470"/>
      <c r="V160" s="466"/>
      <c r="W160" s="468"/>
      <c r="X160" s="470"/>
      <c r="Y160" s="466"/>
      <c r="Z160" s="468"/>
      <c r="AA160" s="470"/>
      <c r="AB160" s="466"/>
      <c r="AC160" s="468"/>
      <c r="AD160" s="470"/>
      <c r="AE160" s="466"/>
      <c r="AF160" s="468"/>
      <c r="AG160" s="470"/>
      <c r="AH160" s="466"/>
      <c r="AI160" s="468"/>
      <c r="AJ160" s="470"/>
      <c r="AK160" s="466"/>
      <c r="AL160" s="468"/>
      <c r="AM160" s="470"/>
      <c r="AN160" s="466"/>
      <c r="AO160" s="468"/>
      <c r="AP160" s="470"/>
      <c r="AQ160" s="466"/>
      <c r="AR160" s="468"/>
      <c r="AS160" s="470"/>
      <c r="AT160" s="537"/>
      <c r="AU160" s="514"/>
    </row>
    <row r="161" spans="1:47" ht="15.75" customHeight="1">
      <c r="A161" s="760" t="s">
        <v>246</v>
      </c>
      <c r="B161" s="763" t="s">
        <v>536</v>
      </c>
      <c r="C161" s="766">
        <v>2320</v>
      </c>
      <c r="D161" s="769" t="s">
        <v>537</v>
      </c>
      <c r="E161" s="716" t="s">
        <v>636</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761"/>
      <c r="B162" s="764"/>
      <c r="C162" s="767"/>
      <c r="D162" s="770"/>
      <c r="E162" s="772"/>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761"/>
      <c r="B163" s="764"/>
      <c r="C163" s="767"/>
      <c r="D163" s="770"/>
      <c r="E163" s="772"/>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761"/>
      <c r="B164" s="764"/>
      <c r="C164" s="767"/>
      <c r="D164" s="770"/>
      <c r="E164" s="772"/>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761"/>
      <c r="B165" s="764"/>
      <c r="C165" s="767"/>
      <c r="D165" s="770"/>
      <c r="E165" s="772"/>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761"/>
      <c r="B166" s="764"/>
      <c r="C166" s="767"/>
      <c r="D166" s="770"/>
      <c r="E166" s="772"/>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761"/>
      <c r="B167" s="764"/>
      <c r="C167" s="767"/>
      <c r="D167" s="770"/>
      <c r="E167" s="772"/>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761"/>
      <c r="B168" s="764"/>
      <c r="C168" s="767"/>
      <c r="D168" s="770"/>
      <c r="E168" s="772"/>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778"/>
      <c r="B169" s="779"/>
      <c r="C169" s="780"/>
      <c r="D169" s="781"/>
      <c r="E169" s="782"/>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774" t="s">
        <v>22</v>
      </c>
      <c r="B170" s="542" t="s">
        <v>18</v>
      </c>
      <c r="C170" s="524" t="s">
        <v>19</v>
      </c>
      <c r="D170" s="524" t="s">
        <v>203</v>
      </c>
      <c r="E170" s="776" t="s">
        <v>21</v>
      </c>
      <c r="F170" s="492" t="s">
        <v>23</v>
      </c>
      <c r="G170" s="504" t="s">
        <v>24</v>
      </c>
      <c r="H170" s="494" t="s">
        <v>25</v>
      </c>
      <c r="I170" s="496" t="s">
        <v>26</v>
      </c>
      <c r="J170" s="504" t="s">
        <v>24</v>
      </c>
      <c r="K170" s="494" t="s">
        <v>25</v>
      </c>
      <c r="L170" s="496" t="s">
        <v>26</v>
      </c>
      <c r="M170" s="504" t="s">
        <v>24</v>
      </c>
      <c r="N170" s="494" t="s">
        <v>25</v>
      </c>
      <c r="O170" s="496" t="s">
        <v>26</v>
      </c>
      <c r="P170" s="504" t="s">
        <v>24</v>
      </c>
      <c r="Q170" s="494" t="s">
        <v>25</v>
      </c>
      <c r="R170" s="496" t="s">
        <v>26</v>
      </c>
      <c r="S170" s="504" t="s">
        <v>24</v>
      </c>
      <c r="T170" s="494" t="s">
        <v>25</v>
      </c>
      <c r="U170" s="496" t="s">
        <v>26</v>
      </c>
      <c r="V170" s="504" t="s">
        <v>24</v>
      </c>
      <c r="W170" s="494" t="s">
        <v>25</v>
      </c>
      <c r="X170" s="496" t="s">
        <v>26</v>
      </c>
      <c r="Y170" s="504" t="s">
        <v>24</v>
      </c>
      <c r="Z170" s="494" t="s">
        <v>25</v>
      </c>
      <c r="AA170" s="496" t="s">
        <v>26</v>
      </c>
      <c r="AB170" s="504" t="s">
        <v>24</v>
      </c>
      <c r="AC170" s="494" t="s">
        <v>25</v>
      </c>
      <c r="AD170" s="496" t="s">
        <v>26</v>
      </c>
      <c r="AE170" s="504" t="s">
        <v>24</v>
      </c>
      <c r="AF170" s="494" t="s">
        <v>25</v>
      </c>
      <c r="AG170" s="496" t="s">
        <v>26</v>
      </c>
      <c r="AH170" s="504" t="s">
        <v>24</v>
      </c>
      <c r="AI170" s="494" t="s">
        <v>25</v>
      </c>
      <c r="AJ170" s="496" t="s">
        <v>26</v>
      </c>
      <c r="AK170" s="504" t="s">
        <v>24</v>
      </c>
      <c r="AL170" s="494" t="s">
        <v>25</v>
      </c>
      <c r="AM170" s="496" t="s">
        <v>26</v>
      </c>
      <c r="AN170" s="504" t="s">
        <v>24</v>
      </c>
      <c r="AO170" s="494" t="s">
        <v>25</v>
      </c>
      <c r="AP170" s="496" t="s">
        <v>26</v>
      </c>
      <c r="AQ170" s="504" t="s">
        <v>24</v>
      </c>
      <c r="AR170" s="494" t="s">
        <v>25</v>
      </c>
      <c r="AS170" s="496" t="s">
        <v>26</v>
      </c>
      <c r="AT170" s="604" t="s">
        <v>24</v>
      </c>
      <c r="AU170" s="513" t="s">
        <v>27</v>
      </c>
    </row>
    <row r="171" spans="1:47">
      <c r="A171" s="775"/>
      <c r="B171" s="543"/>
      <c r="C171" s="525"/>
      <c r="D171" s="525"/>
      <c r="E171" s="777"/>
      <c r="F171" s="493"/>
      <c r="G171" s="505"/>
      <c r="H171" s="495"/>
      <c r="I171" s="497"/>
      <c r="J171" s="505"/>
      <c r="K171" s="495"/>
      <c r="L171" s="497"/>
      <c r="M171" s="505"/>
      <c r="N171" s="495"/>
      <c r="O171" s="497"/>
      <c r="P171" s="505"/>
      <c r="Q171" s="495"/>
      <c r="R171" s="497"/>
      <c r="S171" s="505"/>
      <c r="T171" s="495"/>
      <c r="U171" s="497"/>
      <c r="V171" s="505"/>
      <c r="W171" s="495"/>
      <c r="X171" s="497"/>
      <c r="Y171" s="505"/>
      <c r="Z171" s="495"/>
      <c r="AA171" s="497"/>
      <c r="AB171" s="505"/>
      <c r="AC171" s="495"/>
      <c r="AD171" s="497"/>
      <c r="AE171" s="505"/>
      <c r="AF171" s="495"/>
      <c r="AG171" s="497"/>
      <c r="AH171" s="505"/>
      <c r="AI171" s="495"/>
      <c r="AJ171" s="497"/>
      <c r="AK171" s="505"/>
      <c r="AL171" s="495"/>
      <c r="AM171" s="497"/>
      <c r="AN171" s="505"/>
      <c r="AO171" s="495"/>
      <c r="AP171" s="497"/>
      <c r="AQ171" s="505"/>
      <c r="AR171" s="495"/>
      <c r="AS171" s="497"/>
      <c r="AT171" s="588"/>
      <c r="AU171" s="514"/>
    </row>
    <row r="172" spans="1:47" ht="15" customHeight="1">
      <c r="A172" s="760" t="s">
        <v>246</v>
      </c>
      <c r="B172" s="763" t="s">
        <v>637</v>
      </c>
      <c r="C172" s="766">
        <v>2229</v>
      </c>
      <c r="D172" s="769" t="s">
        <v>638</v>
      </c>
      <c r="E172" s="716" t="s">
        <v>639</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761"/>
      <c r="B173" s="764"/>
      <c r="C173" s="767"/>
      <c r="D173" s="770"/>
      <c r="E173" s="772"/>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761"/>
      <c r="B174" s="764"/>
      <c r="C174" s="767"/>
      <c r="D174" s="770"/>
      <c r="E174" s="772"/>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761"/>
      <c r="B175" s="764"/>
      <c r="C175" s="767"/>
      <c r="D175" s="770"/>
      <c r="E175" s="772"/>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761"/>
      <c r="B176" s="764"/>
      <c r="C176" s="767"/>
      <c r="D176" s="770"/>
      <c r="E176" s="772"/>
      <c r="F176" s="52" t="s">
        <v>488</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761"/>
      <c r="B177" s="764"/>
      <c r="C177" s="767"/>
      <c r="D177" s="770"/>
      <c r="E177" s="772"/>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761"/>
      <c r="B178" s="764"/>
      <c r="C178" s="767"/>
      <c r="D178" s="770"/>
      <c r="E178" s="772"/>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761"/>
      <c r="B179" s="764"/>
      <c r="C179" s="767"/>
      <c r="D179" s="770"/>
      <c r="E179" s="772"/>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761"/>
      <c r="B180" s="764"/>
      <c r="C180" s="767"/>
      <c r="D180" s="770"/>
      <c r="E180" s="772"/>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761"/>
      <c r="B181" s="764"/>
      <c r="C181" s="767"/>
      <c r="D181" s="770"/>
      <c r="E181" s="772"/>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762"/>
      <c r="B182" s="765"/>
      <c r="C182" s="768"/>
      <c r="D182" s="771"/>
      <c r="E182" s="773"/>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774" t="s">
        <v>22</v>
      </c>
      <c r="B183" s="542" t="s">
        <v>18</v>
      </c>
      <c r="C183" s="524" t="s">
        <v>19</v>
      </c>
      <c r="D183" s="524" t="s">
        <v>203</v>
      </c>
      <c r="E183" s="776" t="s">
        <v>21</v>
      </c>
      <c r="F183" s="492" t="s">
        <v>23</v>
      </c>
      <c r="G183" s="504" t="s">
        <v>24</v>
      </c>
      <c r="H183" s="494" t="s">
        <v>25</v>
      </c>
      <c r="I183" s="496" t="s">
        <v>26</v>
      </c>
      <c r="J183" s="504" t="s">
        <v>24</v>
      </c>
      <c r="K183" s="494" t="s">
        <v>25</v>
      </c>
      <c r="L183" s="496" t="s">
        <v>26</v>
      </c>
      <c r="M183" s="504" t="s">
        <v>24</v>
      </c>
      <c r="N183" s="494" t="s">
        <v>25</v>
      </c>
      <c r="O183" s="496" t="s">
        <v>26</v>
      </c>
      <c r="P183" s="504" t="s">
        <v>24</v>
      </c>
      <c r="Q183" s="494" t="s">
        <v>25</v>
      </c>
      <c r="R183" s="496" t="s">
        <v>26</v>
      </c>
      <c r="S183" s="504" t="s">
        <v>24</v>
      </c>
      <c r="T183" s="494" t="s">
        <v>25</v>
      </c>
      <c r="U183" s="496" t="s">
        <v>26</v>
      </c>
      <c r="V183" s="504" t="s">
        <v>24</v>
      </c>
      <c r="W183" s="494" t="s">
        <v>25</v>
      </c>
      <c r="X183" s="496" t="s">
        <v>26</v>
      </c>
      <c r="Y183" s="504" t="s">
        <v>24</v>
      </c>
      <c r="Z183" s="494" t="s">
        <v>25</v>
      </c>
      <c r="AA183" s="496" t="s">
        <v>26</v>
      </c>
      <c r="AB183" s="504" t="s">
        <v>24</v>
      </c>
      <c r="AC183" s="494" t="s">
        <v>25</v>
      </c>
      <c r="AD183" s="496" t="s">
        <v>26</v>
      </c>
      <c r="AE183" s="504" t="s">
        <v>24</v>
      </c>
      <c r="AF183" s="494" t="s">
        <v>25</v>
      </c>
      <c r="AG183" s="496" t="s">
        <v>26</v>
      </c>
      <c r="AH183" s="504" t="s">
        <v>24</v>
      </c>
      <c r="AI183" s="494" t="s">
        <v>25</v>
      </c>
      <c r="AJ183" s="496" t="s">
        <v>26</v>
      </c>
      <c r="AK183" s="504" t="s">
        <v>24</v>
      </c>
      <c r="AL183" s="494" t="s">
        <v>25</v>
      </c>
      <c r="AM183" s="496" t="s">
        <v>26</v>
      </c>
      <c r="AN183" s="504" t="s">
        <v>24</v>
      </c>
      <c r="AO183" s="494" t="s">
        <v>25</v>
      </c>
      <c r="AP183" s="496" t="s">
        <v>26</v>
      </c>
      <c r="AQ183" s="504" t="s">
        <v>24</v>
      </c>
      <c r="AR183" s="494" t="s">
        <v>25</v>
      </c>
      <c r="AS183" s="496" t="s">
        <v>26</v>
      </c>
      <c r="AT183" s="604" t="s">
        <v>24</v>
      </c>
      <c r="AU183" s="513" t="s">
        <v>27</v>
      </c>
    </row>
    <row r="184" spans="1:47">
      <c r="A184" s="775"/>
      <c r="B184" s="543"/>
      <c r="C184" s="525"/>
      <c r="D184" s="525"/>
      <c r="E184" s="777"/>
      <c r="F184" s="493"/>
      <c r="G184" s="505"/>
      <c r="H184" s="495"/>
      <c r="I184" s="497"/>
      <c r="J184" s="505"/>
      <c r="K184" s="495"/>
      <c r="L184" s="497"/>
      <c r="M184" s="505"/>
      <c r="N184" s="495"/>
      <c r="O184" s="497"/>
      <c r="P184" s="505"/>
      <c r="Q184" s="495"/>
      <c r="R184" s="497"/>
      <c r="S184" s="505"/>
      <c r="T184" s="495"/>
      <c r="U184" s="497"/>
      <c r="V184" s="505"/>
      <c r="W184" s="495"/>
      <c r="X184" s="497"/>
      <c r="Y184" s="505"/>
      <c r="Z184" s="495"/>
      <c r="AA184" s="497"/>
      <c r="AB184" s="505"/>
      <c r="AC184" s="495"/>
      <c r="AD184" s="497"/>
      <c r="AE184" s="505"/>
      <c r="AF184" s="495"/>
      <c r="AG184" s="497"/>
      <c r="AH184" s="505"/>
      <c r="AI184" s="495"/>
      <c r="AJ184" s="497"/>
      <c r="AK184" s="505"/>
      <c r="AL184" s="495"/>
      <c r="AM184" s="497"/>
      <c r="AN184" s="505"/>
      <c r="AO184" s="495"/>
      <c r="AP184" s="497"/>
      <c r="AQ184" s="505"/>
      <c r="AR184" s="495"/>
      <c r="AS184" s="497"/>
      <c r="AT184" s="588"/>
      <c r="AU184" s="514"/>
    </row>
    <row r="185" spans="1:47" ht="15" customHeight="1">
      <c r="A185" s="760" t="s">
        <v>445</v>
      </c>
      <c r="B185" s="763" t="s">
        <v>446</v>
      </c>
      <c r="C185" s="766">
        <v>2479</v>
      </c>
      <c r="D185" s="769" t="s">
        <v>447</v>
      </c>
      <c r="E185" s="716" t="s">
        <v>448</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761"/>
      <c r="B186" s="764"/>
      <c r="C186" s="767"/>
      <c r="D186" s="770"/>
      <c r="E186" s="772"/>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761"/>
      <c r="B187" s="764"/>
      <c r="C187" s="767"/>
      <c r="D187" s="770"/>
      <c r="E187" s="772"/>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761"/>
      <c r="B188" s="764"/>
      <c r="C188" s="767"/>
      <c r="D188" s="770"/>
      <c r="E188" s="772"/>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761"/>
      <c r="B189" s="764"/>
      <c r="C189" s="767"/>
      <c r="D189" s="770"/>
      <c r="E189" s="772"/>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761"/>
      <c r="B190" s="764"/>
      <c r="C190" s="767"/>
      <c r="D190" s="770"/>
      <c r="E190" s="772"/>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761"/>
      <c r="B191" s="764"/>
      <c r="C191" s="767"/>
      <c r="D191" s="770"/>
      <c r="E191" s="772"/>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761"/>
      <c r="B192" s="764"/>
      <c r="C192" s="767"/>
      <c r="D192" s="770"/>
      <c r="E192" s="772"/>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762"/>
      <c r="B193" s="765"/>
      <c r="C193" s="768"/>
      <c r="D193" s="771"/>
      <c r="E193" s="773"/>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774" t="s">
        <v>22</v>
      </c>
      <c r="B194" s="542" t="s">
        <v>18</v>
      </c>
      <c r="C194" s="524" t="s">
        <v>19</v>
      </c>
      <c r="D194" s="524" t="s">
        <v>203</v>
      </c>
      <c r="E194" s="776" t="s">
        <v>21</v>
      </c>
      <c r="F194" s="492" t="s">
        <v>23</v>
      </c>
      <c r="G194" s="504" t="s">
        <v>24</v>
      </c>
      <c r="H194" s="494" t="s">
        <v>25</v>
      </c>
      <c r="I194" s="496" t="s">
        <v>26</v>
      </c>
      <c r="J194" s="504" t="s">
        <v>24</v>
      </c>
      <c r="K194" s="494" t="s">
        <v>25</v>
      </c>
      <c r="L194" s="496" t="s">
        <v>26</v>
      </c>
      <c r="M194" s="504" t="s">
        <v>24</v>
      </c>
      <c r="N194" s="494" t="s">
        <v>25</v>
      </c>
      <c r="O194" s="496" t="s">
        <v>26</v>
      </c>
      <c r="P194" s="504" t="s">
        <v>24</v>
      </c>
      <c r="Q194" s="494" t="s">
        <v>25</v>
      </c>
      <c r="R194" s="496" t="s">
        <v>26</v>
      </c>
      <c r="S194" s="504" t="s">
        <v>24</v>
      </c>
      <c r="T194" s="494" t="s">
        <v>25</v>
      </c>
      <c r="U194" s="496" t="s">
        <v>26</v>
      </c>
      <c r="V194" s="504" t="s">
        <v>24</v>
      </c>
      <c r="W194" s="494" t="s">
        <v>25</v>
      </c>
      <c r="X194" s="496" t="s">
        <v>26</v>
      </c>
      <c r="Y194" s="504" t="s">
        <v>24</v>
      </c>
      <c r="Z194" s="494" t="s">
        <v>25</v>
      </c>
      <c r="AA194" s="496" t="s">
        <v>26</v>
      </c>
      <c r="AB194" s="504" t="s">
        <v>24</v>
      </c>
      <c r="AC194" s="494" t="s">
        <v>25</v>
      </c>
      <c r="AD194" s="496" t="s">
        <v>26</v>
      </c>
      <c r="AE194" s="504" t="s">
        <v>24</v>
      </c>
      <c r="AF194" s="494" t="s">
        <v>25</v>
      </c>
      <c r="AG194" s="496" t="s">
        <v>26</v>
      </c>
      <c r="AH194" s="504" t="s">
        <v>24</v>
      </c>
      <c r="AI194" s="494" t="s">
        <v>25</v>
      </c>
      <c r="AJ194" s="496" t="s">
        <v>26</v>
      </c>
      <c r="AK194" s="504" t="s">
        <v>24</v>
      </c>
      <c r="AL194" s="494" t="s">
        <v>25</v>
      </c>
      <c r="AM194" s="496" t="s">
        <v>26</v>
      </c>
      <c r="AN194" s="504" t="s">
        <v>24</v>
      </c>
      <c r="AO194" s="494" t="s">
        <v>25</v>
      </c>
      <c r="AP194" s="496" t="s">
        <v>26</v>
      </c>
      <c r="AQ194" s="504" t="s">
        <v>24</v>
      </c>
      <c r="AR194" s="494" t="s">
        <v>25</v>
      </c>
      <c r="AS194" s="496" t="s">
        <v>26</v>
      </c>
      <c r="AT194" s="604" t="s">
        <v>24</v>
      </c>
      <c r="AU194" s="513" t="s">
        <v>27</v>
      </c>
    </row>
    <row r="195" spans="1:47" ht="15" customHeight="1">
      <c r="A195" s="775"/>
      <c r="B195" s="543"/>
      <c r="C195" s="525"/>
      <c r="D195" s="525"/>
      <c r="E195" s="777"/>
      <c r="F195" s="493"/>
      <c r="G195" s="505"/>
      <c r="H195" s="495"/>
      <c r="I195" s="497"/>
      <c r="J195" s="505"/>
      <c r="K195" s="495"/>
      <c r="L195" s="497"/>
      <c r="M195" s="505"/>
      <c r="N195" s="495"/>
      <c r="O195" s="497"/>
      <c r="P195" s="505"/>
      <c r="Q195" s="495"/>
      <c r="R195" s="497"/>
      <c r="S195" s="505"/>
      <c r="T195" s="495"/>
      <c r="U195" s="497"/>
      <c r="V195" s="505"/>
      <c r="W195" s="495"/>
      <c r="X195" s="497"/>
      <c r="Y195" s="505"/>
      <c r="Z195" s="495"/>
      <c r="AA195" s="497"/>
      <c r="AB195" s="505"/>
      <c r="AC195" s="495"/>
      <c r="AD195" s="497"/>
      <c r="AE195" s="505"/>
      <c r="AF195" s="495"/>
      <c r="AG195" s="497"/>
      <c r="AH195" s="505"/>
      <c r="AI195" s="495"/>
      <c r="AJ195" s="497"/>
      <c r="AK195" s="505"/>
      <c r="AL195" s="495"/>
      <c r="AM195" s="497"/>
      <c r="AN195" s="505"/>
      <c r="AO195" s="495"/>
      <c r="AP195" s="497"/>
      <c r="AQ195" s="505"/>
      <c r="AR195" s="495"/>
      <c r="AS195" s="497"/>
      <c r="AT195" s="588"/>
      <c r="AU195" s="514"/>
    </row>
    <row r="196" spans="1:47" ht="15" customHeight="1">
      <c r="A196" s="760" t="s">
        <v>587</v>
      </c>
      <c r="B196" s="763" t="s">
        <v>640</v>
      </c>
      <c r="C196" s="766">
        <v>2226</v>
      </c>
      <c r="D196" s="769" t="s">
        <v>641</v>
      </c>
      <c r="E196" s="716" t="s">
        <v>642</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761"/>
      <c r="B197" s="764"/>
      <c r="C197" s="767"/>
      <c r="D197" s="770"/>
      <c r="E197" s="772"/>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761"/>
      <c r="B198" s="764"/>
      <c r="C198" s="767"/>
      <c r="D198" s="770"/>
      <c r="E198" s="772"/>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761"/>
      <c r="B199" s="764"/>
      <c r="C199" s="767"/>
      <c r="D199" s="770"/>
      <c r="E199" s="772"/>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761"/>
      <c r="B200" s="764"/>
      <c r="C200" s="767"/>
      <c r="D200" s="770"/>
      <c r="E200" s="772"/>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761"/>
      <c r="B201" s="764"/>
      <c r="C201" s="767"/>
      <c r="D201" s="770"/>
      <c r="E201" s="772"/>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761"/>
      <c r="B202" s="764"/>
      <c r="C202" s="767"/>
      <c r="D202" s="770"/>
      <c r="E202" s="772"/>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761"/>
      <c r="B203" s="764"/>
      <c r="C203" s="767"/>
      <c r="D203" s="770"/>
      <c r="E203" s="772"/>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762"/>
      <c r="B204" s="765"/>
      <c r="C204" s="768"/>
      <c r="D204" s="771"/>
      <c r="E204" s="773"/>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774" t="s">
        <v>22</v>
      </c>
      <c r="B205" s="542" t="s">
        <v>18</v>
      </c>
      <c r="C205" s="524" t="s">
        <v>19</v>
      </c>
      <c r="D205" s="524" t="s">
        <v>203</v>
      </c>
      <c r="E205" s="776" t="s">
        <v>21</v>
      </c>
      <c r="F205" s="492" t="s">
        <v>23</v>
      </c>
      <c r="G205" s="504" t="s">
        <v>24</v>
      </c>
      <c r="H205" s="494" t="s">
        <v>25</v>
      </c>
      <c r="I205" s="496" t="s">
        <v>26</v>
      </c>
      <c r="J205" s="504" t="s">
        <v>24</v>
      </c>
      <c r="K205" s="494" t="s">
        <v>25</v>
      </c>
      <c r="L205" s="496" t="s">
        <v>26</v>
      </c>
      <c r="M205" s="504" t="s">
        <v>24</v>
      </c>
      <c r="N205" s="494" t="s">
        <v>25</v>
      </c>
      <c r="O205" s="496" t="s">
        <v>26</v>
      </c>
      <c r="P205" s="504" t="s">
        <v>24</v>
      </c>
      <c r="Q205" s="494" t="s">
        <v>25</v>
      </c>
      <c r="R205" s="496" t="s">
        <v>26</v>
      </c>
      <c r="S205" s="504" t="s">
        <v>24</v>
      </c>
      <c r="T205" s="494" t="s">
        <v>25</v>
      </c>
      <c r="U205" s="496" t="s">
        <v>26</v>
      </c>
      <c r="V205" s="504" t="s">
        <v>24</v>
      </c>
      <c r="W205" s="494" t="s">
        <v>25</v>
      </c>
      <c r="X205" s="496" t="s">
        <v>26</v>
      </c>
      <c r="Y205" s="504" t="s">
        <v>24</v>
      </c>
      <c r="Z205" s="494" t="s">
        <v>25</v>
      </c>
      <c r="AA205" s="496" t="s">
        <v>26</v>
      </c>
      <c r="AB205" s="504" t="s">
        <v>24</v>
      </c>
      <c r="AC205" s="494" t="s">
        <v>25</v>
      </c>
      <c r="AD205" s="496" t="s">
        <v>26</v>
      </c>
      <c r="AE205" s="504" t="s">
        <v>24</v>
      </c>
      <c r="AF205" s="494" t="s">
        <v>25</v>
      </c>
      <c r="AG205" s="496" t="s">
        <v>26</v>
      </c>
      <c r="AH205" s="504" t="s">
        <v>24</v>
      </c>
      <c r="AI205" s="494" t="s">
        <v>25</v>
      </c>
      <c r="AJ205" s="496" t="s">
        <v>26</v>
      </c>
      <c r="AK205" s="504" t="s">
        <v>24</v>
      </c>
      <c r="AL205" s="494" t="s">
        <v>25</v>
      </c>
      <c r="AM205" s="496" t="s">
        <v>26</v>
      </c>
      <c r="AN205" s="504" t="s">
        <v>24</v>
      </c>
      <c r="AO205" s="494" t="s">
        <v>25</v>
      </c>
      <c r="AP205" s="496" t="s">
        <v>26</v>
      </c>
      <c r="AQ205" s="504" t="s">
        <v>24</v>
      </c>
      <c r="AR205" s="494" t="s">
        <v>25</v>
      </c>
      <c r="AS205" s="496" t="s">
        <v>26</v>
      </c>
      <c r="AT205" s="604" t="s">
        <v>24</v>
      </c>
      <c r="AU205" s="513" t="s">
        <v>27</v>
      </c>
    </row>
    <row r="206" spans="1:47" ht="15" customHeight="1">
      <c r="A206" s="775"/>
      <c r="B206" s="543"/>
      <c r="C206" s="525"/>
      <c r="D206" s="525"/>
      <c r="E206" s="777"/>
      <c r="F206" s="493"/>
      <c r="G206" s="505"/>
      <c r="H206" s="495"/>
      <c r="I206" s="497"/>
      <c r="J206" s="505"/>
      <c r="K206" s="495"/>
      <c r="L206" s="497"/>
      <c r="M206" s="505"/>
      <c r="N206" s="495"/>
      <c r="O206" s="497"/>
      <c r="P206" s="505"/>
      <c r="Q206" s="495"/>
      <c r="R206" s="497"/>
      <c r="S206" s="505"/>
      <c r="T206" s="495"/>
      <c r="U206" s="497"/>
      <c r="V206" s="505"/>
      <c r="W206" s="495"/>
      <c r="X206" s="497"/>
      <c r="Y206" s="505"/>
      <c r="Z206" s="495"/>
      <c r="AA206" s="497"/>
      <c r="AB206" s="505"/>
      <c r="AC206" s="495"/>
      <c r="AD206" s="497"/>
      <c r="AE206" s="505"/>
      <c r="AF206" s="495"/>
      <c r="AG206" s="497"/>
      <c r="AH206" s="505"/>
      <c r="AI206" s="495"/>
      <c r="AJ206" s="497"/>
      <c r="AK206" s="505"/>
      <c r="AL206" s="495"/>
      <c r="AM206" s="497"/>
      <c r="AN206" s="505"/>
      <c r="AO206" s="495"/>
      <c r="AP206" s="497"/>
      <c r="AQ206" s="505"/>
      <c r="AR206" s="495"/>
      <c r="AS206" s="497"/>
      <c r="AT206" s="588"/>
      <c r="AU206" s="621"/>
    </row>
    <row r="207" spans="1:47" ht="15" customHeight="1">
      <c r="A207" s="760" t="s">
        <v>88</v>
      </c>
      <c r="B207" s="763" t="s">
        <v>643</v>
      </c>
      <c r="C207" s="766">
        <v>2478</v>
      </c>
      <c r="D207" s="769"/>
      <c r="E207" s="716" t="s">
        <v>644</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761"/>
      <c r="B208" s="764"/>
      <c r="C208" s="767"/>
      <c r="D208" s="770"/>
      <c r="E208" s="772"/>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761"/>
      <c r="B209" s="764"/>
      <c r="C209" s="767"/>
      <c r="D209" s="770"/>
      <c r="E209" s="772"/>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761"/>
      <c r="B210" s="764"/>
      <c r="C210" s="767"/>
      <c r="D210" s="770"/>
      <c r="E210" s="772"/>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761"/>
      <c r="B211" s="764"/>
      <c r="C211" s="767"/>
      <c r="D211" s="770"/>
      <c r="E211" s="772"/>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761"/>
      <c r="B212" s="764"/>
      <c r="C212" s="767"/>
      <c r="D212" s="770"/>
      <c r="E212" s="772"/>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761"/>
      <c r="B213" s="764"/>
      <c r="C213" s="767"/>
      <c r="D213" s="770"/>
      <c r="E213" s="772"/>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761"/>
      <c r="B214" s="764"/>
      <c r="C214" s="767"/>
      <c r="D214" s="770"/>
      <c r="E214" s="772"/>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762"/>
      <c r="B215" s="765"/>
      <c r="C215" s="768"/>
      <c r="D215" s="771"/>
      <c r="E215" s="773"/>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538" t="s">
        <v>22</v>
      </c>
      <c r="B216" s="524" t="s">
        <v>18</v>
      </c>
      <c r="C216" s="524" t="s">
        <v>19</v>
      </c>
      <c r="D216" s="524" t="s">
        <v>203</v>
      </c>
      <c r="E216" s="524" t="s">
        <v>21</v>
      </c>
      <c r="F216" s="542" t="s">
        <v>23</v>
      </c>
      <c r="G216" s="504" t="s">
        <v>24</v>
      </c>
      <c r="H216" s="494" t="s">
        <v>25</v>
      </c>
      <c r="I216" s="496" t="s">
        <v>26</v>
      </c>
      <c r="J216" s="504" t="s">
        <v>24</v>
      </c>
      <c r="K216" s="494" t="s">
        <v>25</v>
      </c>
      <c r="L216" s="496" t="s">
        <v>26</v>
      </c>
      <c r="M216" s="504" t="s">
        <v>24</v>
      </c>
      <c r="N216" s="494" t="s">
        <v>25</v>
      </c>
      <c r="O216" s="496" t="s">
        <v>26</v>
      </c>
      <c r="P216" s="504" t="s">
        <v>24</v>
      </c>
      <c r="Q216" s="494" t="s">
        <v>25</v>
      </c>
      <c r="R216" s="496" t="s">
        <v>26</v>
      </c>
      <c r="S216" s="504" t="s">
        <v>24</v>
      </c>
      <c r="T216" s="494" t="s">
        <v>25</v>
      </c>
      <c r="U216" s="496" t="s">
        <v>26</v>
      </c>
      <c r="V216" s="504" t="s">
        <v>24</v>
      </c>
      <c r="W216" s="494" t="s">
        <v>25</v>
      </c>
      <c r="X216" s="534" t="s">
        <v>26</v>
      </c>
      <c r="Y216" s="504" t="s">
        <v>24</v>
      </c>
      <c r="Z216" s="494" t="s">
        <v>25</v>
      </c>
      <c r="AA216" s="496" t="s">
        <v>26</v>
      </c>
      <c r="AB216" s="504" t="s">
        <v>24</v>
      </c>
      <c r="AC216" s="494" t="s">
        <v>25</v>
      </c>
      <c r="AD216" s="496" t="s">
        <v>26</v>
      </c>
      <c r="AE216" s="504" t="s">
        <v>24</v>
      </c>
      <c r="AF216" s="494" t="s">
        <v>25</v>
      </c>
      <c r="AG216" s="496" t="s">
        <v>26</v>
      </c>
      <c r="AH216" s="504" t="s">
        <v>24</v>
      </c>
      <c r="AI216" s="494" t="s">
        <v>25</v>
      </c>
      <c r="AJ216" s="496" t="s">
        <v>26</v>
      </c>
      <c r="AK216" s="504" t="s">
        <v>24</v>
      </c>
      <c r="AL216" s="494" t="s">
        <v>25</v>
      </c>
      <c r="AM216" s="496" t="s">
        <v>26</v>
      </c>
      <c r="AN216" s="504" t="s">
        <v>24</v>
      </c>
      <c r="AO216" s="494" t="s">
        <v>25</v>
      </c>
      <c r="AP216" s="496" t="s">
        <v>26</v>
      </c>
      <c r="AQ216" s="504" t="s">
        <v>24</v>
      </c>
      <c r="AR216" s="494" t="s">
        <v>25</v>
      </c>
      <c r="AS216" s="496" t="s">
        <v>26</v>
      </c>
      <c r="AT216" s="536" t="s">
        <v>24</v>
      </c>
      <c r="AU216" s="544" t="s">
        <v>27</v>
      </c>
    </row>
    <row r="217" spans="1:47" ht="15" customHeight="1">
      <c r="A217" s="539"/>
      <c r="B217" s="525"/>
      <c r="C217" s="525"/>
      <c r="D217" s="525"/>
      <c r="E217" s="525"/>
      <c r="F217" s="543"/>
      <c r="G217" s="505"/>
      <c r="H217" s="495"/>
      <c r="I217" s="497"/>
      <c r="J217" s="505"/>
      <c r="K217" s="495"/>
      <c r="L217" s="497"/>
      <c r="M217" s="505"/>
      <c r="N217" s="495"/>
      <c r="O217" s="497"/>
      <c r="P217" s="505"/>
      <c r="Q217" s="495"/>
      <c r="R217" s="497"/>
      <c r="S217" s="505"/>
      <c r="T217" s="495"/>
      <c r="U217" s="497"/>
      <c r="V217" s="505"/>
      <c r="W217" s="495"/>
      <c r="X217" s="535"/>
      <c r="Y217" s="505"/>
      <c r="Z217" s="495"/>
      <c r="AA217" s="497"/>
      <c r="AB217" s="505"/>
      <c r="AC217" s="495"/>
      <c r="AD217" s="497"/>
      <c r="AE217" s="505"/>
      <c r="AF217" s="495"/>
      <c r="AG217" s="497"/>
      <c r="AH217" s="505"/>
      <c r="AI217" s="495"/>
      <c r="AJ217" s="497"/>
      <c r="AK217" s="505"/>
      <c r="AL217" s="495"/>
      <c r="AM217" s="497"/>
      <c r="AN217" s="505"/>
      <c r="AO217" s="495"/>
      <c r="AP217" s="497"/>
      <c r="AQ217" s="505"/>
      <c r="AR217" s="495"/>
      <c r="AS217" s="497"/>
      <c r="AT217" s="537"/>
      <c r="AU217" s="545"/>
    </row>
    <row r="218" spans="1:47" ht="15" customHeight="1">
      <c r="A218" s="526" t="s">
        <v>88</v>
      </c>
      <c r="B218" s="540" t="s">
        <v>510</v>
      </c>
      <c r="C218" s="528">
        <v>1500</v>
      </c>
      <c r="D218" s="556"/>
      <c r="E218" s="532" t="s">
        <v>511</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526"/>
      <c r="B219" s="540"/>
      <c r="C219" s="528"/>
      <c r="D219" s="556"/>
      <c r="E219" s="532"/>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526"/>
      <c r="B220" s="540"/>
      <c r="C220" s="528"/>
      <c r="D220" s="556"/>
      <c r="E220" s="532"/>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526"/>
      <c r="B221" s="540"/>
      <c r="C221" s="528"/>
      <c r="D221" s="556"/>
      <c r="E221" s="532"/>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526"/>
      <c r="B222" s="540"/>
      <c r="C222" s="528"/>
      <c r="D222" s="556"/>
      <c r="E222" s="532"/>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526"/>
      <c r="B223" s="540"/>
      <c r="C223" s="528"/>
      <c r="D223" s="556"/>
      <c r="E223" s="532"/>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526"/>
      <c r="B224" s="540"/>
      <c r="C224" s="528"/>
      <c r="D224" s="556"/>
      <c r="E224" s="532"/>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526"/>
      <c r="B225" s="540"/>
      <c r="C225" s="528"/>
      <c r="D225" s="556"/>
      <c r="E225" s="532"/>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527"/>
      <c r="B226" s="541"/>
      <c r="C226" s="529"/>
      <c r="D226" s="559"/>
      <c r="E226" s="533"/>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774" t="s">
        <v>22</v>
      </c>
      <c r="B227" s="542" t="s">
        <v>18</v>
      </c>
      <c r="C227" s="524" t="s">
        <v>19</v>
      </c>
      <c r="D227" s="524" t="s">
        <v>203</v>
      </c>
      <c r="E227" s="776" t="s">
        <v>21</v>
      </c>
      <c r="F227" s="492" t="s">
        <v>23</v>
      </c>
      <c r="G227" s="504" t="s">
        <v>24</v>
      </c>
      <c r="H227" s="494" t="s">
        <v>25</v>
      </c>
      <c r="I227" s="496" t="s">
        <v>26</v>
      </c>
      <c r="J227" s="504" t="s">
        <v>24</v>
      </c>
      <c r="K227" s="494" t="s">
        <v>25</v>
      </c>
      <c r="L227" s="496" t="s">
        <v>26</v>
      </c>
      <c r="M227" s="504" t="s">
        <v>24</v>
      </c>
      <c r="N227" s="494" t="s">
        <v>25</v>
      </c>
      <c r="O227" s="496" t="s">
        <v>26</v>
      </c>
      <c r="P227" s="504" t="s">
        <v>24</v>
      </c>
      <c r="Q227" s="494" t="s">
        <v>25</v>
      </c>
      <c r="R227" s="496" t="s">
        <v>26</v>
      </c>
      <c r="S227" s="504" t="s">
        <v>24</v>
      </c>
      <c r="T227" s="494" t="s">
        <v>25</v>
      </c>
      <c r="U227" s="496" t="s">
        <v>26</v>
      </c>
      <c r="V227" s="504" t="s">
        <v>24</v>
      </c>
      <c r="W227" s="494" t="s">
        <v>25</v>
      </c>
      <c r="X227" s="496" t="s">
        <v>26</v>
      </c>
      <c r="Y227" s="504" t="s">
        <v>24</v>
      </c>
      <c r="Z227" s="494" t="s">
        <v>25</v>
      </c>
      <c r="AA227" s="496" t="s">
        <v>26</v>
      </c>
      <c r="AB227" s="504" t="s">
        <v>24</v>
      </c>
      <c r="AC227" s="494" t="s">
        <v>25</v>
      </c>
      <c r="AD227" s="496" t="s">
        <v>26</v>
      </c>
      <c r="AE227" s="504" t="s">
        <v>24</v>
      </c>
      <c r="AF227" s="494" t="s">
        <v>25</v>
      </c>
      <c r="AG227" s="496" t="s">
        <v>26</v>
      </c>
      <c r="AH227" s="504" t="s">
        <v>24</v>
      </c>
      <c r="AI227" s="494" t="s">
        <v>25</v>
      </c>
      <c r="AJ227" s="496" t="s">
        <v>26</v>
      </c>
      <c r="AK227" s="504" t="s">
        <v>24</v>
      </c>
      <c r="AL227" s="494" t="s">
        <v>25</v>
      </c>
      <c r="AM227" s="496" t="s">
        <v>26</v>
      </c>
      <c r="AN227" s="504" t="s">
        <v>24</v>
      </c>
      <c r="AO227" s="494" t="s">
        <v>25</v>
      </c>
      <c r="AP227" s="496" t="s">
        <v>26</v>
      </c>
      <c r="AQ227" s="504" t="s">
        <v>24</v>
      </c>
      <c r="AR227" s="494" t="s">
        <v>25</v>
      </c>
      <c r="AS227" s="496" t="s">
        <v>26</v>
      </c>
      <c r="AT227" s="604" t="s">
        <v>24</v>
      </c>
      <c r="AU227" s="513" t="s">
        <v>27</v>
      </c>
    </row>
    <row r="228" spans="1:47" ht="15" customHeight="1">
      <c r="A228" s="775"/>
      <c r="B228" s="543"/>
      <c r="C228" s="525"/>
      <c r="D228" s="525"/>
      <c r="E228" s="777"/>
      <c r="F228" s="493"/>
      <c r="G228" s="505"/>
      <c r="H228" s="495"/>
      <c r="I228" s="497"/>
      <c r="J228" s="505"/>
      <c r="K228" s="495"/>
      <c r="L228" s="497"/>
      <c r="M228" s="505"/>
      <c r="N228" s="495"/>
      <c r="O228" s="497"/>
      <c r="P228" s="505"/>
      <c r="Q228" s="495"/>
      <c r="R228" s="497"/>
      <c r="S228" s="505"/>
      <c r="T228" s="495"/>
      <c r="U228" s="497"/>
      <c r="V228" s="505"/>
      <c r="W228" s="495"/>
      <c r="X228" s="497"/>
      <c r="Y228" s="505"/>
      <c r="Z228" s="495"/>
      <c r="AA228" s="497"/>
      <c r="AB228" s="505"/>
      <c r="AC228" s="495"/>
      <c r="AD228" s="497"/>
      <c r="AE228" s="505"/>
      <c r="AF228" s="495"/>
      <c r="AG228" s="497"/>
      <c r="AH228" s="505"/>
      <c r="AI228" s="495"/>
      <c r="AJ228" s="497"/>
      <c r="AK228" s="505"/>
      <c r="AL228" s="495"/>
      <c r="AM228" s="497"/>
      <c r="AN228" s="505"/>
      <c r="AO228" s="495"/>
      <c r="AP228" s="497"/>
      <c r="AQ228" s="505"/>
      <c r="AR228" s="495"/>
      <c r="AS228" s="497"/>
      <c r="AT228" s="588"/>
      <c r="AU228" s="514"/>
    </row>
    <row r="229" spans="1:47" ht="15" customHeight="1">
      <c r="A229" s="760" t="s">
        <v>88</v>
      </c>
      <c r="B229" s="763" t="s">
        <v>645</v>
      </c>
      <c r="C229" s="766">
        <v>2227</v>
      </c>
      <c r="D229" s="769"/>
      <c r="E229" s="716" t="s">
        <v>646</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761"/>
      <c r="B230" s="764"/>
      <c r="C230" s="767"/>
      <c r="D230" s="770"/>
      <c r="E230" s="772"/>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761"/>
      <c r="B231" s="764"/>
      <c r="C231" s="767"/>
      <c r="D231" s="770"/>
      <c r="E231" s="772"/>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761"/>
      <c r="B232" s="764"/>
      <c r="C232" s="767"/>
      <c r="D232" s="770"/>
      <c r="E232" s="772"/>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761"/>
      <c r="B233" s="764"/>
      <c r="C233" s="767"/>
      <c r="D233" s="770"/>
      <c r="E233" s="772"/>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761"/>
      <c r="B234" s="764"/>
      <c r="C234" s="767"/>
      <c r="D234" s="770"/>
      <c r="E234" s="772"/>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761"/>
      <c r="B235" s="764"/>
      <c r="C235" s="767"/>
      <c r="D235" s="770"/>
      <c r="E235" s="772"/>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761"/>
      <c r="B236" s="764"/>
      <c r="C236" s="767"/>
      <c r="D236" s="770"/>
      <c r="E236" s="772"/>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762"/>
      <c r="B237" s="765"/>
      <c r="C237" s="768"/>
      <c r="D237" s="771"/>
      <c r="E237" s="773"/>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233</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-57489</v>
      </c>
      <c r="X238" s="57">
        <f t="shared" si="281"/>
        <v>242689</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-0.31041576673866089</v>
      </c>
      <c r="X239" s="32">
        <f>X238/V238</f>
        <v>1.3104157667386609</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632" t="s">
        <v>234</v>
      </c>
      <c r="F240" s="759"/>
      <c r="G240" s="632" t="s">
        <v>234</v>
      </c>
      <c r="H240" s="633"/>
      <c r="I240" s="759"/>
      <c r="J240" s="632" t="s">
        <v>234</v>
      </c>
      <c r="K240" s="633"/>
      <c r="L240" s="759"/>
      <c r="M240" s="632" t="s">
        <v>234</v>
      </c>
      <c r="N240" s="633"/>
      <c r="O240" s="759"/>
      <c r="P240" s="632" t="s">
        <v>234</v>
      </c>
      <c r="Q240" s="633"/>
      <c r="R240" s="759"/>
      <c r="S240" s="752" t="s">
        <v>234</v>
      </c>
      <c r="T240" s="753"/>
      <c r="U240" s="754"/>
      <c r="V240" s="752" t="s">
        <v>234</v>
      </c>
      <c r="W240" s="753"/>
      <c r="X240" s="754"/>
      <c r="Y240" s="752" t="s">
        <v>234</v>
      </c>
      <c r="Z240" s="753"/>
      <c r="AA240" s="754"/>
      <c r="AB240" s="752" t="s">
        <v>234</v>
      </c>
      <c r="AC240" s="753"/>
      <c r="AD240" s="754"/>
      <c r="AE240" s="752" t="s">
        <v>234</v>
      </c>
      <c r="AF240" s="753"/>
      <c r="AG240" s="754"/>
      <c r="AH240" s="752" t="s">
        <v>234</v>
      </c>
      <c r="AI240" s="753"/>
      <c r="AJ240" s="754"/>
      <c r="AK240" s="752" t="s">
        <v>234</v>
      </c>
      <c r="AL240" s="753"/>
      <c r="AM240" s="754"/>
      <c r="AN240" s="752" t="s">
        <v>234</v>
      </c>
      <c r="AO240" s="753"/>
      <c r="AP240" s="754"/>
      <c r="AQ240" s="752" t="s">
        <v>234</v>
      </c>
      <c r="AR240" s="753"/>
      <c r="AS240" s="754"/>
      <c r="AT240" s="755" t="s">
        <v>17</v>
      </c>
      <c r="AU240" s="756"/>
    </row>
    <row r="241" spans="1:47">
      <c r="A241"/>
      <c r="E241" s="757" t="s">
        <v>647</v>
      </c>
      <c r="F241" s="758"/>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236</v>
      </c>
    </row>
    <row r="242" spans="1:47" ht="15">
      <c r="A242"/>
      <c r="E242" s="808" t="s">
        <v>648</v>
      </c>
      <c r="F242" s="809"/>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656" t="s">
        <v>136</v>
      </c>
      <c r="F243" s="750"/>
      <c r="G243" s="810" t="s">
        <v>136</v>
      </c>
      <c r="H243" s="811"/>
      <c r="I243" s="812"/>
      <c r="J243" s="810" t="s">
        <v>136</v>
      </c>
      <c r="K243" s="811"/>
      <c r="L243" s="812"/>
      <c r="M243" s="810" t="s">
        <v>136</v>
      </c>
      <c r="N243" s="811"/>
      <c r="O243" s="812"/>
      <c r="P243" s="810" t="s">
        <v>136</v>
      </c>
      <c r="Q243" s="811"/>
      <c r="R243" s="811"/>
      <c r="S243" s="745" t="s">
        <v>136</v>
      </c>
      <c r="T243" s="746"/>
      <c r="U243" s="746"/>
      <c r="V243" s="745" t="s">
        <v>136</v>
      </c>
      <c r="W243" s="746"/>
      <c r="X243" s="746"/>
      <c r="Y243" s="745" t="s">
        <v>136</v>
      </c>
      <c r="Z243" s="746"/>
      <c r="AA243" s="746"/>
      <c r="AB243" s="745" t="s">
        <v>136</v>
      </c>
      <c r="AC243" s="746"/>
      <c r="AD243" s="746"/>
      <c r="AE243" s="745" t="s">
        <v>136</v>
      </c>
      <c r="AF243" s="746"/>
      <c r="AG243" s="747"/>
      <c r="AH243" s="745" t="s">
        <v>136</v>
      </c>
      <c r="AI243" s="746"/>
      <c r="AJ243" s="747"/>
      <c r="AK243" s="745" t="s">
        <v>136</v>
      </c>
      <c r="AL243" s="746"/>
      <c r="AM243" s="747"/>
      <c r="AN243" s="745" t="s">
        <v>136</v>
      </c>
      <c r="AO243" s="746"/>
      <c r="AP243" s="747"/>
      <c r="AQ243" s="745" t="s">
        <v>136</v>
      </c>
      <c r="AR243" s="746"/>
      <c r="AS243" s="747"/>
      <c r="AT243" s="748" t="s">
        <v>137</v>
      </c>
      <c r="AU243" s="749"/>
    </row>
    <row r="244" spans="1:47" ht="30" customHeight="1">
      <c r="A244"/>
      <c r="E244" s="627" t="s">
        <v>237</v>
      </c>
      <c r="F244" s="751"/>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2">
        <f>AS249</f>
        <v>5301150</v>
      </c>
      <c r="AU244" s="54"/>
    </row>
    <row r="245" spans="1:47">
      <c r="A245"/>
      <c r="C245" s="35"/>
      <c r="E245" s="629" t="s">
        <v>238</v>
      </c>
      <c r="F245" s="660"/>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629" t="s">
        <v>239</v>
      </c>
      <c r="F246" s="660"/>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629" t="s">
        <v>140</v>
      </c>
      <c r="F247" s="660"/>
      <c r="G247" s="30"/>
      <c r="I247" s="34">
        <f>H238*-1</f>
        <v>-30803</v>
      </c>
      <c r="J247" s="30"/>
      <c r="L247" s="34">
        <f>K238*-1</f>
        <v>0</v>
      </c>
      <c r="M247" s="30"/>
      <c r="O247" s="34">
        <f>N238*-1</f>
        <v>-550</v>
      </c>
      <c r="P247" s="30"/>
      <c r="R247" s="34">
        <f>Q238*-1</f>
        <v>13350</v>
      </c>
      <c r="S247" s="30"/>
      <c r="U247" s="34">
        <f>T238*-1</f>
        <v>0</v>
      </c>
      <c r="V247" s="30"/>
      <c r="X247" s="34">
        <f>W238*-1</f>
        <v>57489</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623" t="s">
        <v>142</v>
      </c>
      <c r="F248" s="741"/>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-242689</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742" t="s">
        <v>240</v>
      </c>
      <c r="F249" s="744"/>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7"/>
      <c r="AG251" s="197"/>
    </row>
    <row r="252" spans="1:47" ht="30.75">
      <c r="G252" s="1" t="s">
        <v>145</v>
      </c>
      <c r="H252" s="1" t="s">
        <v>146</v>
      </c>
      <c r="I252" s="1"/>
      <c r="J252" s="1" t="s">
        <v>145</v>
      </c>
      <c r="K252" s="1" t="s">
        <v>146</v>
      </c>
      <c r="L252" s="1"/>
      <c r="M252" s="1" t="s">
        <v>145</v>
      </c>
      <c r="N252" s="1" t="s">
        <v>146</v>
      </c>
      <c r="O252" s="1"/>
      <c r="P252" s="1" t="s">
        <v>145</v>
      </c>
      <c r="Q252" s="1" t="s">
        <v>146</v>
      </c>
      <c r="R252" s="1"/>
      <c r="S252" s="1" t="s">
        <v>145</v>
      </c>
      <c r="T252" s="1" t="s">
        <v>146</v>
      </c>
      <c r="U252" s="1"/>
      <c r="V252" s="1" t="s">
        <v>145</v>
      </c>
      <c r="W252" s="1" t="s">
        <v>146</v>
      </c>
      <c r="X252" s="1"/>
      <c r="Y252" s="1" t="s">
        <v>145</v>
      </c>
      <c r="Z252" s="1" t="s">
        <v>146</v>
      </c>
      <c r="AA252" s="1"/>
      <c r="AB252" s="1" t="s">
        <v>145</v>
      </c>
      <c r="AC252" s="1" t="s">
        <v>146</v>
      </c>
      <c r="AD252" s="1"/>
      <c r="AE252" s="1" t="s">
        <v>145</v>
      </c>
      <c r="AF252" s="1" t="s">
        <v>148</v>
      </c>
      <c r="AG252" s="1"/>
      <c r="AH252" s="1" t="s">
        <v>145</v>
      </c>
      <c r="AI252" s="1" t="s">
        <v>148</v>
      </c>
      <c r="AJ252" s="1"/>
      <c r="AK252" s="1" t="s">
        <v>145</v>
      </c>
      <c r="AL252" s="1" t="s">
        <v>148</v>
      </c>
      <c r="AN252" s="1" t="s">
        <v>145</v>
      </c>
      <c r="AO252" s="1" t="s">
        <v>148</v>
      </c>
      <c r="AQ252" s="1" t="s">
        <v>145</v>
      </c>
      <c r="AR252" s="1" t="s">
        <v>148</v>
      </c>
    </row>
    <row r="253" spans="1:47">
      <c r="G253" s="1" t="s">
        <v>204</v>
      </c>
      <c r="H253" s="197">
        <v>297122</v>
      </c>
      <c r="J253" s="1" t="s">
        <v>204</v>
      </c>
      <c r="K253" s="197">
        <v>135000</v>
      </c>
      <c r="M253" s="1" t="s">
        <v>204</v>
      </c>
      <c r="N253" s="197">
        <v>300000</v>
      </c>
      <c r="P253" s="1" t="s">
        <v>204</v>
      </c>
      <c r="Q253" s="197">
        <v>252000</v>
      </c>
      <c r="S253" s="1" t="s">
        <v>204</v>
      </c>
      <c r="T253" s="197">
        <v>693000</v>
      </c>
      <c r="V253" s="1" t="s">
        <v>204</v>
      </c>
      <c r="W253" s="197">
        <v>185200</v>
      </c>
      <c r="Y253" s="1" t="s">
        <v>204</v>
      </c>
      <c r="Z253" s="197">
        <v>611000</v>
      </c>
      <c r="AB253" s="1" t="s">
        <v>204</v>
      </c>
      <c r="AC253" s="197">
        <v>5923858</v>
      </c>
      <c r="AE253" s="1" t="s">
        <v>204</v>
      </c>
      <c r="AF253" s="197">
        <v>6095547</v>
      </c>
      <c r="AH253" s="1" t="s">
        <v>204</v>
      </c>
      <c r="AI253" s="197">
        <v>3155320</v>
      </c>
      <c r="AK253" s="1" t="s">
        <v>204</v>
      </c>
      <c r="AL253" s="197">
        <v>5540000</v>
      </c>
      <c r="AN253" s="1" t="s">
        <v>204</v>
      </c>
      <c r="AO253" s="197"/>
      <c r="AQ253" s="1" t="s">
        <v>204</v>
      </c>
      <c r="AR253" s="197"/>
    </row>
    <row r="254" spans="1:47">
      <c r="G254" s="1" t="s">
        <v>245</v>
      </c>
      <c r="H254" s="197"/>
      <c r="J254" s="1" t="s">
        <v>245</v>
      </c>
      <c r="K254" s="197"/>
      <c r="M254" s="1" t="s">
        <v>245</v>
      </c>
      <c r="N254" s="197"/>
      <c r="P254" s="1" t="s">
        <v>245</v>
      </c>
      <c r="Q254" s="197"/>
      <c r="S254" s="1" t="s">
        <v>245</v>
      </c>
      <c r="T254" s="197"/>
      <c r="V254" s="1" t="s">
        <v>245</v>
      </c>
      <c r="W254" s="197"/>
      <c r="Y254" s="1" t="s">
        <v>245</v>
      </c>
      <c r="Z254" s="197"/>
      <c r="AB254" s="1" t="s">
        <v>245</v>
      </c>
      <c r="AC254" s="197"/>
      <c r="AE254" s="1" t="s">
        <v>245</v>
      </c>
      <c r="AF254" s="197"/>
      <c r="AH254" s="1" t="s">
        <v>245</v>
      </c>
      <c r="AI254" s="197"/>
      <c r="AK254" s="1" t="s">
        <v>245</v>
      </c>
      <c r="AL254" s="197"/>
      <c r="AN254" s="1" t="s">
        <v>245</v>
      </c>
      <c r="AO254" s="197"/>
      <c r="AQ254" s="1" t="s">
        <v>245</v>
      </c>
      <c r="AR254" s="197"/>
    </row>
    <row r="255" spans="1:47">
      <c r="G255" s="1" t="s">
        <v>208</v>
      </c>
      <c r="H255" s="197"/>
      <c r="J255" s="1" t="s">
        <v>208</v>
      </c>
      <c r="K255" s="197"/>
      <c r="M255" s="1" t="s">
        <v>208</v>
      </c>
      <c r="N255" s="197">
        <v>979928</v>
      </c>
      <c r="P255" s="1" t="s">
        <v>208</v>
      </c>
      <c r="Q255" s="197"/>
      <c r="S255" s="1" t="s">
        <v>208</v>
      </c>
      <c r="T255" s="197"/>
      <c r="V255" s="1" t="s">
        <v>208</v>
      </c>
      <c r="W255" s="197"/>
      <c r="Y255" s="1" t="s">
        <v>208</v>
      </c>
      <c r="Z255" s="197">
        <v>744344</v>
      </c>
      <c r="AB255" s="1" t="s">
        <v>208</v>
      </c>
      <c r="AC255" s="197"/>
      <c r="AE255" s="1" t="s">
        <v>208</v>
      </c>
      <c r="AF255" s="197"/>
      <c r="AH255" s="1" t="s">
        <v>208</v>
      </c>
      <c r="AI255" s="197"/>
      <c r="AK255" s="1" t="s">
        <v>208</v>
      </c>
      <c r="AL255" s="197"/>
      <c r="AN255" s="1" t="s">
        <v>208</v>
      </c>
      <c r="AO255" s="197"/>
      <c r="AQ255" s="1" t="s">
        <v>208</v>
      </c>
      <c r="AR255" s="197"/>
    </row>
    <row r="256" spans="1:47">
      <c r="G256" s="1" t="s">
        <v>246</v>
      </c>
      <c r="H256" s="197">
        <v>250000</v>
      </c>
      <c r="J256" s="1" t="s">
        <v>246</v>
      </c>
      <c r="K256" s="197"/>
      <c r="M256" s="1" t="s">
        <v>246</v>
      </c>
      <c r="N256" s="197"/>
      <c r="P256" s="1" t="s">
        <v>246</v>
      </c>
      <c r="Q256" s="197"/>
      <c r="S256" s="1" t="s">
        <v>246</v>
      </c>
      <c r="T256" s="197"/>
      <c r="V256" s="1" t="s">
        <v>246</v>
      </c>
      <c r="W256" s="197"/>
      <c r="Y256" s="1" t="s">
        <v>246</v>
      </c>
      <c r="Z256" s="197"/>
      <c r="AB256" s="1" t="s">
        <v>246</v>
      </c>
      <c r="AC256" s="197">
        <v>347659</v>
      </c>
      <c r="AE256" s="1" t="s">
        <v>246</v>
      </c>
      <c r="AF256" s="197"/>
      <c r="AH256" s="1" t="s">
        <v>246</v>
      </c>
      <c r="AI256" s="197"/>
      <c r="AK256" s="1" t="s">
        <v>246</v>
      </c>
      <c r="AL256" s="197"/>
      <c r="AN256" s="1" t="s">
        <v>246</v>
      </c>
      <c r="AO256" s="197"/>
      <c r="AQ256" s="1" t="s">
        <v>246</v>
      </c>
      <c r="AR256" s="197"/>
    </row>
    <row r="257" spans="7:50">
      <c r="G257" s="1" t="s">
        <v>247</v>
      </c>
      <c r="H257" s="197"/>
      <c r="J257" s="1" t="s">
        <v>247</v>
      </c>
      <c r="K257" s="197"/>
      <c r="M257" s="1" t="s">
        <v>247</v>
      </c>
      <c r="N257" s="197"/>
      <c r="P257" s="1" t="s">
        <v>247</v>
      </c>
      <c r="Q257" s="197"/>
      <c r="S257" s="1" t="s">
        <v>247</v>
      </c>
      <c r="T257" s="197"/>
      <c r="V257" s="1" t="s">
        <v>247</v>
      </c>
      <c r="W257" s="197"/>
      <c r="Y257" s="1" t="s">
        <v>247</v>
      </c>
      <c r="Z257" s="197"/>
      <c r="AB257" s="1" t="s">
        <v>247</v>
      </c>
      <c r="AC257" s="197"/>
      <c r="AE257" s="1" t="s">
        <v>247</v>
      </c>
      <c r="AF257" s="197"/>
      <c r="AH257" s="1" t="s">
        <v>247</v>
      </c>
      <c r="AI257" s="197"/>
      <c r="AK257" s="1" t="s">
        <v>247</v>
      </c>
      <c r="AL257" s="197"/>
      <c r="AN257" s="1" t="s">
        <v>247</v>
      </c>
      <c r="AO257" s="197"/>
      <c r="AQ257" s="1" t="s">
        <v>247</v>
      </c>
      <c r="AR257" s="197"/>
    </row>
    <row r="258" spans="7:50">
      <c r="G258" s="1" t="s">
        <v>259</v>
      </c>
      <c r="H258" s="197"/>
      <c r="J258" s="1" t="s">
        <v>259</v>
      </c>
      <c r="K258" s="197"/>
      <c r="M258" s="1" t="s">
        <v>259</v>
      </c>
      <c r="N258" s="197"/>
      <c r="P258" s="1" t="s">
        <v>259</v>
      </c>
      <c r="Q258" s="197"/>
      <c r="S258" s="1" t="s">
        <v>259</v>
      </c>
      <c r="T258" s="197"/>
      <c r="V258" s="1" t="s">
        <v>259</v>
      </c>
      <c r="W258" s="197"/>
      <c r="Y258" s="1" t="s">
        <v>259</v>
      </c>
      <c r="Z258" s="197"/>
      <c r="AB258" s="1" t="s">
        <v>259</v>
      </c>
      <c r="AC258" s="197"/>
      <c r="AE258" s="1" t="s">
        <v>259</v>
      </c>
      <c r="AF258" s="197"/>
      <c r="AH258" s="1" t="s">
        <v>259</v>
      </c>
      <c r="AI258" s="197"/>
      <c r="AK258" s="1" t="s">
        <v>259</v>
      </c>
      <c r="AL258" s="197"/>
      <c r="AN258" s="1" t="s">
        <v>259</v>
      </c>
      <c r="AO258" s="197"/>
      <c r="AQ258" s="1" t="s">
        <v>259</v>
      </c>
      <c r="AR258" s="197"/>
    </row>
    <row r="259" spans="7:50">
      <c r="G259" s="1" t="s">
        <v>88</v>
      </c>
      <c r="H259" s="197">
        <v>78686</v>
      </c>
      <c r="J259" s="1" t="s">
        <v>88</v>
      </c>
      <c r="K259" s="197">
        <v>123200</v>
      </c>
      <c r="M259" s="1" t="s">
        <v>88</v>
      </c>
      <c r="N259" s="197"/>
      <c r="P259" s="1" t="s">
        <v>88</v>
      </c>
      <c r="Q259" s="197"/>
      <c r="S259" s="1" t="s">
        <v>88</v>
      </c>
      <c r="T259" s="197"/>
      <c r="V259" s="1" t="s">
        <v>88</v>
      </c>
      <c r="W259" s="197"/>
      <c r="Y259" s="1" t="s">
        <v>88</v>
      </c>
      <c r="Z259" s="197"/>
      <c r="AB259" s="1" t="s">
        <v>88</v>
      </c>
      <c r="AC259" s="197"/>
      <c r="AE259" s="1" t="s">
        <v>88</v>
      </c>
      <c r="AF259" s="197"/>
      <c r="AH259" s="1" t="s">
        <v>88</v>
      </c>
      <c r="AI259" s="197"/>
      <c r="AK259" s="1" t="s">
        <v>88</v>
      </c>
      <c r="AL259" s="197"/>
      <c r="AN259" s="1" t="s">
        <v>88</v>
      </c>
      <c r="AO259" s="197"/>
      <c r="AQ259" s="1" t="s">
        <v>88</v>
      </c>
      <c r="AR259" s="197"/>
    </row>
    <row r="260" spans="7:50">
      <c r="G260" s="1" t="s">
        <v>249</v>
      </c>
      <c r="H260" s="197"/>
      <c r="J260" s="1" t="s">
        <v>249</v>
      </c>
      <c r="K260" s="197"/>
      <c r="M260" s="1" t="s">
        <v>249</v>
      </c>
      <c r="N260" s="197"/>
      <c r="P260" s="1" t="s">
        <v>249</v>
      </c>
      <c r="Q260" s="197"/>
      <c r="S260" s="1" t="s">
        <v>249</v>
      </c>
      <c r="T260" s="197"/>
      <c r="V260" s="1" t="s">
        <v>249</v>
      </c>
      <c r="W260" s="197"/>
      <c r="Y260" s="1" t="s">
        <v>249</v>
      </c>
      <c r="Z260" s="197"/>
      <c r="AB260" s="1" t="s">
        <v>249</v>
      </c>
      <c r="AC260" s="197"/>
      <c r="AE260" s="1" t="s">
        <v>249</v>
      </c>
      <c r="AF260" s="197"/>
      <c r="AH260" s="1" t="s">
        <v>249</v>
      </c>
      <c r="AI260" s="197"/>
      <c r="AK260" s="1" t="s">
        <v>249</v>
      </c>
      <c r="AL260" s="197"/>
      <c r="AN260" s="1" t="s">
        <v>249</v>
      </c>
      <c r="AO260" s="197"/>
      <c r="AQ260" s="1" t="s">
        <v>249</v>
      </c>
      <c r="AR260" s="197"/>
    </row>
    <row r="261" spans="7:50">
      <c r="G261" s="1" t="s">
        <v>649</v>
      </c>
      <c r="H261" s="197"/>
      <c r="J261" s="1" t="s">
        <v>649</v>
      </c>
      <c r="K261" s="197"/>
      <c r="M261" s="1" t="s">
        <v>649</v>
      </c>
      <c r="N261" s="197"/>
      <c r="P261" s="1" t="s">
        <v>649</v>
      </c>
      <c r="Q261" s="197"/>
      <c r="S261" s="1" t="s">
        <v>649</v>
      </c>
      <c r="T261" s="197">
        <v>280000</v>
      </c>
      <c r="V261" s="1" t="s">
        <v>649</v>
      </c>
      <c r="W261" s="197"/>
      <c r="Y261" s="1" t="s">
        <v>649</v>
      </c>
      <c r="Z261" s="197"/>
      <c r="AB261" s="1" t="s">
        <v>649</v>
      </c>
      <c r="AC261" s="197">
        <v>870787</v>
      </c>
      <c r="AE261" s="1" t="s">
        <v>649</v>
      </c>
      <c r="AF261" s="197"/>
      <c r="AH261" s="1" t="s">
        <v>649</v>
      </c>
      <c r="AI261" s="197"/>
      <c r="AK261" s="1" t="s">
        <v>649</v>
      </c>
      <c r="AL261" s="197"/>
      <c r="AN261" s="1" t="s">
        <v>649</v>
      </c>
      <c r="AO261" s="197"/>
      <c r="AQ261" s="1" t="s">
        <v>649</v>
      </c>
      <c r="AR261" s="197"/>
    </row>
    <row r="262" spans="7:50">
      <c r="G262" s="1" t="s">
        <v>587</v>
      </c>
      <c r="H262" s="197">
        <v>108803</v>
      </c>
      <c r="J262" s="1" t="s">
        <v>587</v>
      </c>
      <c r="K262" s="197">
        <v>1241531</v>
      </c>
      <c r="M262" s="1" t="s">
        <v>587</v>
      </c>
      <c r="N262" s="197">
        <v>105000</v>
      </c>
      <c r="P262" s="1"/>
      <c r="S262" s="1"/>
      <c r="V262" s="1"/>
      <c r="Y262" s="1"/>
      <c r="AB262" s="1"/>
      <c r="AE262" s="1"/>
      <c r="AH262" s="1"/>
      <c r="AK262" s="1"/>
      <c r="AN262" s="1"/>
      <c r="AQ262" s="1"/>
    </row>
    <row r="263" spans="7:50" ht="50.25" customHeight="1">
      <c r="G263" s="226" t="s">
        <v>145</v>
      </c>
      <c r="H263" s="226" t="s">
        <v>650</v>
      </c>
      <c r="I263" s="227" t="s">
        <v>651</v>
      </c>
      <c r="J263" s="226" t="s">
        <v>145</v>
      </c>
      <c r="K263" s="226" t="s">
        <v>650</v>
      </c>
      <c r="L263" s="227" t="s">
        <v>651</v>
      </c>
      <c r="M263" s="226" t="s">
        <v>145</v>
      </c>
      <c r="N263" s="226" t="s">
        <v>650</v>
      </c>
      <c r="O263" s="227" t="s">
        <v>651</v>
      </c>
      <c r="P263" s="226" t="s">
        <v>145</v>
      </c>
      <c r="Q263" s="226" t="s">
        <v>650</v>
      </c>
      <c r="R263" s="227" t="s">
        <v>651</v>
      </c>
      <c r="S263" s="226" t="s">
        <v>145</v>
      </c>
      <c r="T263" s="226" t="s">
        <v>650</v>
      </c>
      <c r="U263" s="227" t="s">
        <v>651</v>
      </c>
      <c r="V263" s="226" t="s">
        <v>145</v>
      </c>
      <c r="W263" s="226" t="s">
        <v>650</v>
      </c>
      <c r="X263" s="227" t="s">
        <v>651</v>
      </c>
      <c r="Y263" s="226" t="s">
        <v>145</v>
      </c>
      <c r="Z263" s="226" t="s">
        <v>650</v>
      </c>
      <c r="AA263" s="227" t="s">
        <v>651</v>
      </c>
      <c r="AB263" s="226" t="s">
        <v>145</v>
      </c>
      <c r="AC263" s="226" t="s">
        <v>650</v>
      </c>
      <c r="AD263" s="227" t="s">
        <v>651</v>
      </c>
      <c r="AE263" s="226" t="s">
        <v>145</v>
      </c>
      <c r="AF263" s="226" t="s">
        <v>650</v>
      </c>
      <c r="AG263" s="227" t="s">
        <v>651</v>
      </c>
      <c r="AH263" s="226" t="s">
        <v>145</v>
      </c>
      <c r="AI263" s="226" t="s">
        <v>650</v>
      </c>
      <c r="AJ263" s="227" t="s">
        <v>651</v>
      </c>
      <c r="AK263" s="226" t="s">
        <v>145</v>
      </c>
      <c r="AL263" s="226" t="s">
        <v>650</v>
      </c>
      <c r="AM263" s="227" t="s">
        <v>651</v>
      </c>
      <c r="AN263" s="226" t="s">
        <v>145</v>
      </c>
      <c r="AO263" s="226" t="s">
        <v>650</v>
      </c>
      <c r="AP263" s="227" t="s">
        <v>651</v>
      </c>
      <c r="AQ263" s="226" t="s">
        <v>145</v>
      </c>
      <c r="AR263" s="226" t="s">
        <v>650</v>
      </c>
      <c r="AS263" s="227" t="s">
        <v>651</v>
      </c>
      <c r="AU263" s="226" t="s">
        <v>145</v>
      </c>
      <c r="AV263" s="258" t="s">
        <v>652</v>
      </c>
      <c r="AW263" s="228" t="s">
        <v>653</v>
      </c>
      <c r="AX263" s="275" t="s">
        <v>244</v>
      </c>
    </row>
    <row r="264" spans="7:50">
      <c r="G264" s="228" t="s">
        <v>204</v>
      </c>
      <c r="H264" s="144">
        <f>SUM(G139:G147,G128:G136,G117:G125,G106:G114,G84:G92,G73:G81,G62:G70,G51:G59,G40:G48,G95:G103)</f>
        <v>297122</v>
      </c>
      <c r="I264" s="144">
        <f>SUM(I139:I147,I128:I136,I117:I125,I106:I114,I84:I92,I73:I81,I62:I70,I51:I59,I40:I48)</f>
        <v>0</v>
      </c>
      <c r="J264" s="228" t="s">
        <v>204</v>
      </c>
      <c r="K264" s="144">
        <f>SUM(J139:J147,J128:J136,J117:J125,J106:J114,J84:J92,J73:J81,J62:J70,J51:J59,J40:J48)</f>
        <v>135000</v>
      </c>
      <c r="L264" s="144">
        <f>SUM(L139:L147,L128:L136,L117:L125,L106:L114,L84:L92,L73:L81,L62:L70,L51:L59,L40:L48)</f>
        <v>135000</v>
      </c>
      <c r="M264" s="228" t="s">
        <v>204</v>
      </c>
      <c r="N264" s="144">
        <f>SUM(M139:M147,M128:M136,M117:M125,M106:M114,M84:M92,M73:M81,M62:M70,M51:M59,M40:M48)</f>
        <v>300000</v>
      </c>
      <c r="O264" s="144">
        <f>SUM(O139:O147,O128:O136,O117:O125,O106:O114,O84:O92,O73:O81,O62:O70,O51:O59,O40:O48)</f>
        <v>300000</v>
      </c>
      <c r="P264" s="228" t="s">
        <v>204</v>
      </c>
      <c r="Q264" s="144">
        <f>SUM(P139:P147,P128:P136,P117:P125,P106:P114,P84:P92,P73:P81,P62:P70,P51:P59,P40:P48,P95:P103)</f>
        <v>252000</v>
      </c>
      <c r="R264" s="144">
        <f>SUM(R139:R147,R128:R136,R117:R125,R106:R114,R84:R92,R73:R81,R62:R70,R51:R59,R40:R48,R95:R103)</f>
        <v>265350</v>
      </c>
      <c r="S264" s="228" t="s">
        <v>204</v>
      </c>
      <c r="T264" s="144">
        <f>SUM(S139:S147,S128:S136,S117:S125,S106:S114,S84:S92,S73:S81,S62:S70,S51:S59,S40:S48)</f>
        <v>693000</v>
      </c>
      <c r="U264" s="144">
        <f>SUM(U139:U147,U128:U136,U117:U125,U106:U114,U84:U92,U73:U81,U62:U70,U51:U59,U40:U48)</f>
        <v>693000</v>
      </c>
      <c r="V264" s="228" t="s">
        <v>204</v>
      </c>
      <c r="W264" s="144">
        <f>SUM(V139:V147,V128:V136,V117:V125,V106:V114,V84:V92,V73:V81,V62:V70,V51:V59,V40:V48)</f>
        <v>185200</v>
      </c>
      <c r="X264" s="144">
        <f>SUM(X139:X147,X128:X136,X117:X125,X106:X114,X84:X92,X73:X81,X62:X70,X51:X59,X40:X48)</f>
        <v>242689</v>
      </c>
      <c r="Y264" s="228" t="s">
        <v>204</v>
      </c>
      <c r="Z264" s="144">
        <f>SUM(Y139:Y147,Y128:Y136,Y117:Y125,Y106:Y114,Y84:Y92,Y73:Y81,Y62:Y70,Y51:Y59,Y40:Y48)</f>
        <v>611000</v>
      </c>
      <c r="AA264" s="144">
        <f>SUM(AA139:AA147,AA128:AA136,AA117:AA125,AA106:AA114,AA84:AA92,AA73:AA81,AA62:AA70,AA51:AA59,AA40:AA48)</f>
        <v>611000</v>
      </c>
      <c r="AB264" s="228" t="s">
        <v>204</v>
      </c>
      <c r="AC264" s="144">
        <f>SUM(AB139:AB147,AB128:AB136,AB117:AB125,AB106:AB114,AB84:AB92,AB73:AB81,AB62:AB70,AB51:AB59,AB40:AB48)</f>
        <v>2640000</v>
      </c>
      <c r="AD264" s="144">
        <f>SUM(AD139:AD147,AD128:AD136,AD117:AD125,AD106:AD114,AD84:AD92,AD73:AD81,AD62:AD70,AD51:AD59,AD40:AD48)</f>
        <v>2640000</v>
      </c>
      <c r="AE264" s="228" t="s">
        <v>204</v>
      </c>
      <c r="AF264" s="233">
        <f>SUM(AE139:AE147,AE128:AE136,AE117:AE125,AE106:AE114,AE84:AE92,AE73:AE81,AE62:AE70,AE51:AE59,AE40:AE48)</f>
        <v>1790547</v>
      </c>
      <c r="AG264" s="232">
        <f>SUM(AG139:AG147,AG128:AG136,AG117:AG125,AG106:AG114,AG84:AG92,AG73:AG81,AG62:AG70,AG51:AG59,AG40:AG48)</f>
        <v>1790547</v>
      </c>
      <c r="AH264" s="228" t="s">
        <v>204</v>
      </c>
      <c r="AI264" s="233">
        <f>SUM(AH139:AH147,AH128:AH136,AH117:AH125,AH106:AH114,AH84:AH92,AH73:AH81,AH62:AH70,AH51:AH59,AH40:AH48)</f>
        <v>7460320</v>
      </c>
      <c r="AJ264" s="232">
        <f>SUM(AJ139:AJ147,AJ128:AJ136,AJ117:AJ125,AJ106:AJ114,AJ84:AJ92,AJ73:AJ81,AJ62:AJ70,AJ51:AJ59,AJ40:AJ48)</f>
        <v>0</v>
      </c>
      <c r="AK264" s="228" t="s">
        <v>204</v>
      </c>
      <c r="AL264" s="233">
        <f>SUM(AK139:AK147,AK128:AK136,AK117:AK125,AK106:AK114,AK84:AK92,AK73:AK81,AK62:AK70,AK51:AK59,AK40:AK48)</f>
        <v>5540000</v>
      </c>
      <c r="AM264" s="232">
        <f>SUM(AM139:AM147,AM128:AM136,AM117:AM125,AM106:AM114,AM84:AM92,AM73:AM81,AM62:AM70,AM51:AM59,AM40:AM48)</f>
        <v>0</v>
      </c>
      <c r="AN264" s="228" t="s">
        <v>204</v>
      </c>
      <c r="AO264" s="233">
        <f>SUM(AN139:AN147,AN128:AN136,AN117:AN125,AN106:AN114,AN84:AN92,AN73:AN81,AN62:AN70,AN51:AN59,AN40:AN48)</f>
        <v>0</v>
      </c>
      <c r="AP264" s="232">
        <f>SUM(AP139:AP147,AP128:AP136,AP117:AP125,AP106:AP114,AP84:AP92,AP73:AP81,AP62:AP70,AP51:AP59,AP40:AP48)</f>
        <v>0</v>
      </c>
      <c r="AQ264" s="228" t="s">
        <v>204</v>
      </c>
      <c r="AR264" s="233">
        <f>SUM(AQ139:AQ147,AQ128:AQ136,AQ117:AQ125,AQ106:AQ114,AQ84:AQ92,AQ73:AQ81,AQ62:AQ70,AQ51:AQ59,AQ40:AQ48)</f>
        <v>0</v>
      </c>
      <c r="AS264" s="232">
        <f>SUM(AS139:AS147,AS128:AS136,AS117:AS125,AS106:AS114,AS84:AS92,AS73:AS81,AS62:AS70,AS51:AS59,AS40:AS48)</f>
        <v>0</v>
      </c>
      <c r="AU264" s="243" t="s">
        <v>204</v>
      </c>
      <c r="AV264" s="259">
        <f>SUM(AR264,AI264,AF264,AC264,Z264,W264,T264,Q264,N264,K264,H264,AL264,AO264)</f>
        <v>19904189</v>
      </c>
      <c r="AW264" s="272">
        <f>AV264/$AV$274</f>
        <v>0.83575980884191381</v>
      </c>
      <c r="AX264" s="145"/>
    </row>
    <row r="265" spans="7:50">
      <c r="G265" s="228" t="s">
        <v>245</v>
      </c>
      <c r="H265" s="145"/>
      <c r="I265" s="229"/>
      <c r="J265" s="228" t="s">
        <v>245</v>
      </c>
      <c r="K265" s="145"/>
      <c r="L265" s="229"/>
      <c r="M265" s="228" t="s">
        <v>245</v>
      </c>
      <c r="N265" s="145"/>
      <c r="O265" s="229"/>
      <c r="P265" s="228" t="s">
        <v>245</v>
      </c>
      <c r="Q265" s="145"/>
      <c r="R265" s="229"/>
      <c r="S265" s="228" t="s">
        <v>245</v>
      </c>
      <c r="T265" s="145"/>
      <c r="U265" s="229"/>
      <c r="V265" s="228" t="s">
        <v>245</v>
      </c>
      <c r="W265" s="145"/>
      <c r="X265" s="229"/>
      <c r="Y265" s="228" t="s">
        <v>245</v>
      </c>
      <c r="Z265" s="145"/>
      <c r="AA265" s="229"/>
      <c r="AB265" s="228" t="s">
        <v>245</v>
      </c>
      <c r="AC265" s="145"/>
      <c r="AD265" s="229"/>
      <c r="AE265" s="228" t="s">
        <v>245</v>
      </c>
      <c r="AF265" s="232"/>
      <c r="AG265" s="232"/>
      <c r="AH265" s="228" t="s">
        <v>245</v>
      </c>
      <c r="AI265" s="232"/>
      <c r="AJ265" s="232"/>
      <c r="AK265" s="228" t="s">
        <v>245</v>
      </c>
      <c r="AL265" s="232"/>
      <c r="AM265" s="232"/>
      <c r="AN265" s="228" t="s">
        <v>245</v>
      </c>
      <c r="AO265" s="232"/>
      <c r="AP265" s="232"/>
      <c r="AQ265" s="228" t="s">
        <v>245</v>
      </c>
      <c r="AR265" s="232"/>
      <c r="AS265" s="232"/>
      <c r="AU265" s="243" t="s">
        <v>245</v>
      </c>
      <c r="AV265" s="259">
        <f t="shared" ref="AV264:AV272" si="283">SUM(AR265,AI265,AF265,AC265,Z265,W265,T265,Q265,N265,K265,H265,AL265,AO265)</f>
        <v>0</v>
      </c>
      <c r="AW265" s="272">
        <f t="shared" ref="AW265:AW273" si="284">AV265/$AV$274</f>
        <v>0</v>
      </c>
      <c r="AX265" s="145"/>
    </row>
    <row r="266" spans="7:50">
      <c r="G266" s="228" t="s">
        <v>208</v>
      </c>
      <c r="H266" s="144">
        <f>SUM(G29:G37)</f>
        <v>0</v>
      </c>
      <c r="I266" s="144">
        <f>SUM(I29:I37)</f>
        <v>0</v>
      </c>
      <c r="J266" s="228" t="s">
        <v>208</v>
      </c>
      <c r="K266" s="144">
        <f>SUM(J29:J37)</f>
        <v>0</v>
      </c>
      <c r="L266" s="144">
        <f>SUM(L29:L37)</f>
        <v>0</v>
      </c>
      <c r="M266" s="228" t="s">
        <v>208</v>
      </c>
      <c r="N266" s="144">
        <f>SUM(M29:M37,M7:M15,M18:M26)</f>
        <v>979928</v>
      </c>
      <c r="O266" s="144">
        <f>SUM(O29:O37,O7:O15,O18:O26)</f>
        <v>979378</v>
      </c>
      <c r="P266" s="228" t="s">
        <v>208</v>
      </c>
      <c r="Q266" s="144">
        <f>SUM(P29:P37)</f>
        <v>0</v>
      </c>
      <c r="R266" s="144">
        <f>SUM(R29:R37)</f>
        <v>0</v>
      </c>
      <c r="S266" s="228" t="s">
        <v>208</v>
      </c>
      <c r="T266" s="144">
        <f>SUM(S29:S37)</f>
        <v>0</v>
      </c>
      <c r="U266" s="144">
        <f>SUM(U29:U37)</f>
        <v>0</v>
      </c>
      <c r="V266" s="228" t="s">
        <v>208</v>
      </c>
      <c r="W266" s="144">
        <f>SUM(V29:V37)</f>
        <v>0</v>
      </c>
      <c r="X266" s="144">
        <f>SUM(X29:X37)</f>
        <v>0</v>
      </c>
      <c r="Y266" s="228" t="s">
        <v>208</v>
      </c>
      <c r="Z266" s="144">
        <f>SUM(Y29:Y37)</f>
        <v>744344</v>
      </c>
      <c r="AA266" s="144">
        <f>SUM(AA29:AA37)</f>
        <v>744344</v>
      </c>
      <c r="AB266" s="228" t="s">
        <v>208</v>
      </c>
      <c r="AC266" s="144">
        <f>SUM(AB29:AB37)</f>
        <v>0</v>
      </c>
      <c r="AD266" s="144">
        <f>SUM(AD29:AD37)</f>
        <v>0</v>
      </c>
      <c r="AE266" s="228" t="s">
        <v>208</v>
      </c>
      <c r="AF266" s="232">
        <f>SUM(AE29:AE37)</f>
        <v>0</v>
      </c>
      <c r="AG266" s="232">
        <f>SUM(AG29:AG37)</f>
        <v>0</v>
      </c>
      <c r="AH266" s="228" t="s">
        <v>208</v>
      </c>
      <c r="AI266" s="232">
        <f>SUM(AH29:AH37)</f>
        <v>0</v>
      </c>
      <c r="AJ266" s="232">
        <f>SUM(AJ29:AJ37)</f>
        <v>0</v>
      </c>
      <c r="AK266" s="228" t="s">
        <v>208</v>
      </c>
      <c r="AL266" s="232">
        <f>SUM(AK29:AK37)</f>
        <v>0</v>
      </c>
      <c r="AM266" s="232">
        <f>SUM(AM29:AM37)</f>
        <v>0</v>
      </c>
      <c r="AN266" s="228" t="s">
        <v>208</v>
      </c>
      <c r="AO266" s="232">
        <f>SUM(AN29:AN37)</f>
        <v>0</v>
      </c>
      <c r="AP266" s="232">
        <f>SUM(AP29:AP37)</f>
        <v>0</v>
      </c>
      <c r="AQ266" s="228" t="s">
        <v>208</v>
      </c>
      <c r="AR266" s="232">
        <f>SUM(AQ29:AQ37)</f>
        <v>0</v>
      </c>
      <c r="AS266" s="232">
        <f>SUM(AS29:AS37)</f>
        <v>0</v>
      </c>
      <c r="AU266" s="243" t="s">
        <v>208</v>
      </c>
      <c r="AV266" s="259">
        <f>SUM(AR266,AI266,AF266,AC266,Z266,W266,T266,Q266,N266,K266,H266,AL266,AO266)</f>
        <v>1724272</v>
      </c>
      <c r="AW266" s="272">
        <f t="shared" si="284"/>
        <v>7.2400701033911233E-2</v>
      </c>
      <c r="AX266" s="145"/>
    </row>
    <row r="267" spans="7:50">
      <c r="G267" s="228" t="s">
        <v>246</v>
      </c>
      <c r="H267" s="144">
        <f>SUM(G172:G182,G150:G158,G161:G169)</f>
        <v>250000</v>
      </c>
      <c r="I267" s="144">
        <f>SUM(I172:I182,I150:I158)</f>
        <v>0</v>
      </c>
      <c r="J267" s="228" t="s">
        <v>246</v>
      </c>
      <c r="K267" s="144">
        <f>SUM(J172:J182,J150:J158)</f>
        <v>0</v>
      </c>
      <c r="L267" s="144">
        <f>SUM(L172:L182,L150:L158)</f>
        <v>0</v>
      </c>
      <c r="M267" s="228" t="s">
        <v>246</v>
      </c>
      <c r="N267" s="144">
        <f>SUM(M172:M182,M150:M158)</f>
        <v>0</v>
      </c>
      <c r="O267" s="144">
        <f>SUM(O172:O182,O150:O158)</f>
        <v>0</v>
      </c>
      <c r="P267" s="228" t="s">
        <v>246</v>
      </c>
      <c r="Q267" s="144">
        <f>SUM(P172:P182,P150:P158)</f>
        <v>0</v>
      </c>
      <c r="R267" s="144">
        <f>SUM(R172:R182,R150:R158)</f>
        <v>0</v>
      </c>
      <c r="S267" s="228" t="s">
        <v>246</v>
      </c>
      <c r="T267" s="144">
        <f>SUM(S172:S182,S150:S158)</f>
        <v>0</v>
      </c>
      <c r="U267" s="144">
        <f>SUM(U172:U182,U150:U158)</f>
        <v>0</v>
      </c>
      <c r="V267" s="228" t="s">
        <v>246</v>
      </c>
      <c r="W267" s="144">
        <f>SUM(V172:V182,V150:V158)</f>
        <v>0</v>
      </c>
      <c r="X267" s="144">
        <f>SUM(X172:X182,X150:X158)</f>
        <v>0</v>
      </c>
      <c r="Y267" s="228" t="s">
        <v>246</v>
      </c>
      <c r="Z267" s="144">
        <f>SUM(Y172:Y182,Y150:Y158)</f>
        <v>0</v>
      </c>
      <c r="AA267" s="144">
        <f>SUM(AA172:AA182,AA150:AA158)</f>
        <v>0</v>
      </c>
      <c r="AB267" s="228" t="s">
        <v>246</v>
      </c>
      <c r="AC267" s="144">
        <f>SUM(AB172:AB182,AB150:AB158)</f>
        <v>0</v>
      </c>
      <c r="AD267" s="144">
        <f>SUM(AD172:AD182,AD150:AD158)</f>
        <v>0</v>
      </c>
      <c r="AE267" s="228" t="s">
        <v>246</v>
      </c>
      <c r="AF267" s="233">
        <f>SUM(AE172:AE182,AE150:AE158)</f>
        <v>0</v>
      </c>
      <c r="AG267" s="232">
        <f>SUM(AG172:AG182,AG150:AG158)</f>
        <v>0</v>
      </c>
      <c r="AH267" s="228" t="s">
        <v>246</v>
      </c>
      <c r="AI267" s="232">
        <f>SUM(AH172:AH182,AH150:AH158)</f>
        <v>0</v>
      </c>
      <c r="AJ267" s="232">
        <f>SUM(AJ172:AJ182,AJ150:AJ158)</f>
        <v>0</v>
      </c>
      <c r="AK267" s="228" t="s">
        <v>246</v>
      </c>
      <c r="AL267" s="232">
        <f>SUM(AK172:AK182,AK150:AK158)</f>
        <v>0</v>
      </c>
      <c r="AM267" s="232">
        <f>SUM(AM172:AM182,AM150:AM158)</f>
        <v>0</v>
      </c>
      <c r="AN267" s="228" t="s">
        <v>246</v>
      </c>
      <c r="AO267" s="232">
        <f>SUM(AN172:AN182,AN150:AN158)</f>
        <v>0</v>
      </c>
      <c r="AP267" s="232">
        <f>SUM(AP172:AP182,AP150:AP158)</f>
        <v>0</v>
      </c>
      <c r="AQ267" s="228" t="s">
        <v>246</v>
      </c>
      <c r="AR267" s="232">
        <f>SUM(AQ172:AQ182,AQ150:AQ158)</f>
        <v>0</v>
      </c>
      <c r="AS267" s="232">
        <f>SUM(AS172:AS182,AS150:AS158)</f>
        <v>0</v>
      </c>
      <c r="AU267" s="243" t="s">
        <v>246</v>
      </c>
      <c r="AV267" s="259">
        <f t="shared" si="283"/>
        <v>250000</v>
      </c>
      <c r="AW267" s="272">
        <f t="shared" si="284"/>
        <v>1.0497285381005901E-2</v>
      </c>
      <c r="AX267" s="145"/>
    </row>
    <row r="268" spans="7:50">
      <c r="G268" s="228" t="s">
        <v>247</v>
      </c>
      <c r="H268" s="145"/>
      <c r="I268" s="145"/>
      <c r="J268" s="228" t="s">
        <v>247</v>
      </c>
      <c r="K268" s="145"/>
      <c r="L268" s="145"/>
      <c r="M268" s="228" t="s">
        <v>247</v>
      </c>
      <c r="N268" s="145"/>
      <c r="O268" s="145"/>
      <c r="P268" s="228" t="s">
        <v>247</v>
      </c>
      <c r="Q268" s="145"/>
      <c r="R268" s="145"/>
      <c r="S268" s="228" t="s">
        <v>247</v>
      </c>
      <c r="T268" s="145"/>
      <c r="U268" s="145"/>
      <c r="V268" s="228" t="s">
        <v>247</v>
      </c>
      <c r="W268" s="145"/>
      <c r="X268" s="145"/>
      <c r="Y268" s="228" t="s">
        <v>247</v>
      </c>
      <c r="Z268" s="145"/>
      <c r="AA268" s="145"/>
      <c r="AB268" s="228" t="s">
        <v>247</v>
      </c>
      <c r="AC268" s="145"/>
      <c r="AD268" s="145"/>
      <c r="AE268" s="228" t="s">
        <v>247</v>
      </c>
      <c r="AF268" s="232"/>
      <c r="AG268" s="232"/>
      <c r="AH268" s="228" t="s">
        <v>247</v>
      </c>
      <c r="AI268" s="232"/>
      <c r="AJ268" s="232"/>
      <c r="AK268" s="228" t="s">
        <v>247</v>
      </c>
      <c r="AL268" s="232"/>
      <c r="AM268" s="232"/>
      <c r="AN268" s="228" t="s">
        <v>247</v>
      </c>
      <c r="AO268" s="232"/>
      <c r="AP268" s="232"/>
      <c r="AQ268" s="228" t="s">
        <v>247</v>
      </c>
      <c r="AR268" s="232"/>
      <c r="AS268" s="232"/>
      <c r="AU268" s="243" t="s">
        <v>247</v>
      </c>
      <c r="AV268" s="259">
        <f t="shared" si="283"/>
        <v>0</v>
      </c>
      <c r="AW268" s="272">
        <f t="shared" si="284"/>
        <v>0</v>
      </c>
      <c r="AX268" s="145"/>
    </row>
    <row r="269" spans="7:50">
      <c r="G269" s="228" t="s">
        <v>654</v>
      </c>
      <c r="H269" s="145"/>
      <c r="I269" s="145"/>
      <c r="J269" s="228" t="s">
        <v>654</v>
      </c>
      <c r="K269" s="145"/>
      <c r="L269" s="145"/>
      <c r="M269" s="228" t="s">
        <v>654</v>
      </c>
      <c r="N269" s="145"/>
      <c r="O269" s="145"/>
      <c r="P269" s="228" t="s">
        <v>654</v>
      </c>
      <c r="Q269" s="145"/>
      <c r="R269" s="145"/>
      <c r="S269" s="228" t="s">
        <v>654</v>
      </c>
      <c r="T269" s="145"/>
      <c r="U269" s="145"/>
      <c r="V269" s="228" t="s">
        <v>654</v>
      </c>
      <c r="W269" s="145"/>
      <c r="X269" s="145"/>
      <c r="Y269" s="228" t="s">
        <v>654</v>
      </c>
      <c r="Z269" s="145"/>
      <c r="AA269" s="145"/>
      <c r="AB269" s="228" t="s">
        <v>654</v>
      </c>
      <c r="AC269" s="145"/>
      <c r="AD269" s="145"/>
      <c r="AE269" s="228" t="s">
        <v>654</v>
      </c>
      <c r="AF269" s="232"/>
      <c r="AG269" s="232"/>
      <c r="AH269" s="228" t="s">
        <v>654</v>
      </c>
      <c r="AI269" s="232"/>
      <c r="AJ269" s="232"/>
      <c r="AK269" s="228" t="s">
        <v>654</v>
      </c>
      <c r="AL269" s="232"/>
      <c r="AM269" s="232"/>
      <c r="AN269" s="228" t="s">
        <v>654</v>
      </c>
      <c r="AO269" s="232"/>
      <c r="AP269" s="232"/>
      <c r="AQ269" s="228" t="s">
        <v>654</v>
      </c>
      <c r="AR269" s="232"/>
      <c r="AS269" s="232"/>
      <c r="AU269" s="243" t="s">
        <v>654</v>
      </c>
      <c r="AV269" s="259">
        <f t="shared" si="283"/>
        <v>0</v>
      </c>
      <c r="AW269" s="272">
        <f t="shared" si="284"/>
        <v>0</v>
      </c>
      <c r="AX269" s="145"/>
    </row>
    <row r="270" spans="7:50">
      <c r="G270" s="228" t="s">
        <v>88</v>
      </c>
      <c r="H270" s="144">
        <f>SUM(G207:G215,G218:G226,G229:G237)</f>
        <v>78686</v>
      </c>
      <c r="I270" s="144">
        <f>SUM(I207:I215,I218:I226,I229:I237)</f>
        <v>78686</v>
      </c>
      <c r="J270" s="228" t="s">
        <v>88</v>
      </c>
      <c r="K270" s="144">
        <f>SUM(J207:J215,J218:J226,J229:J237)</f>
        <v>123200</v>
      </c>
      <c r="L270" s="144">
        <f>SUM(L207:L215,L218:L226,L229:L237)</f>
        <v>123200</v>
      </c>
      <c r="M270" s="228" t="s">
        <v>88</v>
      </c>
      <c r="N270" s="144">
        <f>SUM(M207:M215,M218:M226,M229:M237)</f>
        <v>0</v>
      </c>
      <c r="O270" s="144">
        <f>SUM(O207:O215,O218:O226,O229:O237)</f>
        <v>0</v>
      </c>
      <c r="P270" s="228" t="s">
        <v>88</v>
      </c>
      <c r="Q270" s="144">
        <f>SUM(P207:P215,P218:P226,P229:P237)</f>
        <v>0</v>
      </c>
      <c r="R270" s="144">
        <f>SUM(R207:R215,R218:R226,R229:R237)</f>
        <v>0</v>
      </c>
      <c r="S270" s="228" t="s">
        <v>88</v>
      </c>
      <c r="T270" s="144">
        <f>SUM(S207:S215,S218:S226,S229:S237)</f>
        <v>0</v>
      </c>
      <c r="U270" s="144">
        <f>SUM(U207:U215,U218:U226,U229:U237)</f>
        <v>0</v>
      </c>
      <c r="V270" s="228" t="s">
        <v>88</v>
      </c>
      <c r="W270" s="144">
        <f>SUM(V207:V215,V218:V226,V229:V237)</f>
        <v>0</v>
      </c>
      <c r="X270" s="144">
        <f>SUM(X207:X215,X218:X226,X229:X237)</f>
        <v>0</v>
      </c>
      <c r="Y270" s="228" t="s">
        <v>88</v>
      </c>
      <c r="Z270" s="144">
        <f>SUM(Y207:Y215,Y218:Y226,Y229:Y237)</f>
        <v>0</v>
      </c>
      <c r="AA270" s="144">
        <f>SUM(AA207:AA215,AA218:AA226,AA229:AA237)</f>
        <v>0</v>
      </c>
      <c r="AB270" s="228" t="s">
        <v>88</v>
      </c>
      <c r="AC270" s="144">
        <f>SUM(AB207:AB215,AB218:AB226,AB229:AB237)</f>
        <v>0</v>
      </c>
      <c r="AD270" s="144">
        <f>SUM(AD207:AD215,AD218:AD226,AD229:AD237)</f>
        <v>0</v>
      </c>
      <c r="AE270" s="228" t="s">
        <v>88</v>
      </c>
      <c r="AF270" s="232">
        <f>SUM(AE207:AE215,AE218:AE226,AE229:AE237)</f>
        <v>0</v>
      </c>
      <c r="AG270" s="232">
        <f>SUM(AG207:AG215,AG218:AG226,AG229:AG237)</f>
        <v>0</v>
      </c>
      <c r="AH270" s="228" t="s">
        <v>88</v>
      </c>
      <c r="AI270" s="232">
        <f>SUM(AH207:AH215,AH218:AH226,AH229:AH237)</f>
        <v>0</v>
      </c>
      <c r="AJ270" s="232">
        <f>SUM(AJ207:AJ215,AJ218:AJ226,AJ229:AJ237)</f>
        <v>0</v>
      </c>
      <c r="AK270" s="228" t="s">
        <v>88</v>
      </c>
      <c r="AL270" s="232">
        <f>SUM(AK207:AK215,AK218:AK226,AK229:AK237)</f>
        <v>0</v>
      </c>
      <c r="AM270" s="232">
        <f>SUM(AM207:AM215,AM218:AM226,AM229:AM237)</f>
        <v>0</v>
      </c>
      <c r="AN270" s="228" t="s">
        <v>88</v>
      </c>
      <c r="AO270" s="232">
        <f>SUM(AN207:AN215,AN218:AN226,AN229:AN237)</f>
        <v>0</v>
      </c>
      <c r="AP270" s="232">
        <f>SUM(AP207:AP215,AP218:AP226,AP229:AP237)</f>
        <v>0</v>
      </c>
      <c r="AQ270" s="228" t="s">
        <v>88</v>
      </c>
      <c r="AR270" s="232">
        <f>SUM(AQ207:AQ215,AQ218:AQ226,AQ229:AQ237)</f>
        <v>0</v>
      </c>
      <c r="AS270" s="232">
        <f>SUM(AS207:AS215,AS218:AS226,AS229:AS237)</f>
        <v>0</v>
      </c>
      <c r="AU270" s="243" t="s">
        <v>88</v>
      </c>
      <c r="AV270" s="259">
        <f t="shared" si="283"/>
        <v>201886</v>
      </c>
      <c r="AW270" s="272">
        <f t="shared" si="284"/>
        <v>8.4770198257190302E-3</v>
      </c>
      <c r="AX270" s="145"/>
    </row>
    <row r="271" spans="7:50">
      <c r="G271" s="228" t="s">
        <v>249</v>
      </c>
      <c r="H271" s="145"/>
      <c r="I271" s="145"/>
      <c r="J271" s="228" t="s">
        <v>249</v>
      </c>
      <c r="K271" s="145"/>
      <c r="L271" s="145"/>
      <c r="M271" s="228" t="s">
        <v>249</v>
      </c>
      <c r="N271" s="145"/>
      <c r="O271" s="145"/>
      <c r="P271" s="228" t="s">
        <v>249</v>
      </c>
      <c r="Q271" s="145"/>
      <c r="R271" s="145"/>
      <c r="S271" s="228" t="s">
        <v>249</v>
      </c>
      <c r="T271" s="145"/>
      <c r="U271" s="145"/>
      <c r="V271" s="228" t="s">
        <v>249</v>
      </c>
      <c r="W271" s="145"/>
      <c r="X271" s="145"/>
      <c r="Y271" s="228" t="s">
        <v>249</v>
      </c>
      <c r="Z271" s="145"/>
      <c r="AA271" s="145"/>
      <c r="AB271" s="228" t="s">
        <v>249</v>
      </c>
      <c r="AC271" s="145"/>
      <c r="AD271" s="145"/>
      <c r="AE271" s="228" t="s">
        <v>249</v>
      </c>
      <c r="AF271" s="232"/>
      <c r="AG271" s="232"/>
      <c r="AH271" s="228" t="s">
        <v>249</v>
      </c>
      <c r="AI271" s="232"/>
      <c r="AJ271" s="232"/>
      <c r="AK271" s="228" t="s">
        <v>249</v>
      </c>
      <c r="AL271" s="232"/>
      <c r="AM271" s="232"/>
      <c r="AN271" s="228" t="s">
        <v>249</v>
      </c>
      <c r="AO271" s="232"/>
      <c r="AP271" s="232"/>
      <c r="AQ271" s="228" t="s">
        <v>249</v>
      </c>
      <c r="AR271" s="232"/>
      <c r="AS271" s="232"/>
      <c r="AU271" s="243" t="s">
        <v>249</v>
      </c>
      <c r="AV271" s="259">
        <f t="shared" si="283"/>
        <v>0</v>
      </c>
      <c r="AW271" s="272">
        <f t="shared" si="284"/>
        <v>0</v>
      </c>
      <c r="AX271" s="145"/>
    </row>
    <row r="272" spans="7:50">
      <c r="G272" s="228" t="s">
        <v>649</v>
      </c>
      <c r="H272" s="144">
        <f>SUM(G185:G193)</f>
        <v>0</v>
      </c>
      <c r="I272" s="144">
        <f>SUM(I185:I193)</f>
        <v>0</v>
      </c>
      <c r="J272" s="228" t="s">
        <v>649</v>
      </c>
      <c r="K272" s="144">
        <f>SUM(J185:J193)</f>
        <v>0</v>
      </c>
      <c r="L272" s="144">
        <f>SUM(L185:L193)</f>
        <v>0</v>
      </c>
      <c r="M272" s="228" t="s">
        <v>649</v>
      </c>
      <c r="N272" s="144">
        <f>SUM(M185:M193)</f>
        <v>0</v>
      </c>
      <c r="O272" s="144">
        <f>SUM(O185:O193)</f>
        <v>0</v>
      </c>
      <c r="P272" s="228" t="s">
        <v>649</v>
      </c>
      <c r="Q272" s="144">
        <f>SUM(P185:P193)</f>
        <v>0</v>
      </c>
      <c r="R272" s="144">
        <f>SUM(R185:R193)</f>
        <v>0</v>
      </c>
      <c r="S272" s="228" t="s">
        <v>649</v>
      </c>
      <c r="T272" s="144">
        <f>SUM(S185:S193)</f>
        <v>280000</v>
      </c>
      <c r="U272" s="144">
        <f>SUM(U185:U193)</f>
        <v>280000</v>
      </c>
      <c r="V272" s="228" t="s">
        <v>649</v>
      </c>
      <c r="W272" s="144">
        <f>SUM(V185:V193)</f>
        <v>0</v>
      </c>
      <c r="X272" s="144">
        <f>SUM(X185:X193)</f>
        <v>0</v>
      </c>
      <c r="Y272" s="228" t="s">
        <v>649</v>
      </c>
      <c r="Z272" s="144">
        <f>SUM(Y185:Y193)</f>
        <v>0</v>
      </c>
      <c r="AA272" s="144">
        <f>SUM(AA185:AA193)</f>
        <v>0</v>
      </c>
      <c r="AB272" s="228" t="s">
        <v>649</v>
      </c>
      <c r="AC272" s="144">
        <f>SUM(AB185:AB193)</f>
        <v>0</v>
      </c>
      <c r="AD272" s="144">
        <f>SUM(AD185:AD193)</f>
        <v>0</v>
      </c>
      <c r="AE272" s="228" t="s">
        <v>649</v>
      </c>
      <c r="AF272" s="232">
        <f>SUM(AE185:AE193)</f>
        <v>0</v>
      </c>
      <c r="AG272" s="232">
        <f>SUM(AG185:AG193)</f>
        <v>0</v>
      </c>
      <c r="AH272" s="228" t="s">
        <v>649</v>
      </c>
      <c r="AI272" s="232">
        <f>SUM(AH185:AH193)</f>
        <v>0</v>
      </c>
      <c r="AJ272" s="232">
        <f>SUM(AJ185:AJ193)</f>
        <v>0</v>
      </c>
      <c r="AK272" s="228" t="s">
        <v>649</v>
      </c>
      <c r="AL272" s="232">
        <f>SUM(AK185:AK193)</f>
        <v>0</v>
      </c>
      <c r="AM272" s="232">
        <f>SUM(AM185:AM193)</f>
        <v>0</v>
      </c>
      <c r="AN272" s="228" t="s">
        <v>649</v>
      </c>
      <c r="AO272" s="232">
        <f>SUM(AN185:AN193)</f>
        <v>0</v>
      </c>
      <c r="AP272" s="232">
        <f>SUM(AP185:AP193)</f>
        <v>0</v>
      </c>
      <c r="AQ272" s="228" t="s">
        <v>649</v>
      </c>
      <c r="AR272" s="232">
        <f>SUM(AQ185:AQ193)</f>
        <v>0</v>
      </c>
      <c r="AS272" s="232">
        <f>SUM(AS185:AS193)</f>
        <v>0</v>
      </c>
      <c r="AU272" s="234" t="s">
        <v>649</v>
      </c>
      <c r="AV272" s="259">
        <f t="shared" si="283"/>
        <v>280000</v>
      </c>
      <c r="AW272" s="272">
        <f t="shared" si="284"/>
        <v>1.1756959626726609E-2</v>
      </c>
      <c r="AX272" s="145"/>
    </row>
    <row r="273" spans="7:50">
      <c r="G273" t="s">
        <v>587</v>
      </c>
      <c r="H273" s="56">
        <f>SUM(G196:G204)</f>
        <v>108803</v>
      </c>
      <c r="I273" s="56">
        <f>SUM(I196:I204)</f>
        <v>78000</v>
      </c>
      <c r="J273" t="s">
        <v>587</v>
      </c>
      <c r="K273" s="56">
        <f>SUM(J196:J204)</f>
        <v>1241531</v>
      </c>
      <c r="L273" s="56">
        <f>SUM(L196:L204)</f>
        <v>1241531</v>
      </c>
      <c r="M273" t="s">
        <v>587</v>
      </c>
      <c r="N273" s="56">
        <f>SUM(M196:M204)</f>
        <v>105000</v>
      </c>
      <c r="O273" s="56">
        <f>SUM(O196:O204)</f>
        <v>105000</v>
      </c>
      <c r="AU273" s="248" t="s">
        <v>587</v>
      </c>
      <c r="AV273" s="260">
        <f>SUM(AR273,AI273,AF273,AC273,Z273,W273,T273,Q273,N273,K273,H273)</f>
        <v>1455334</v>
      </c>
      <c r="AW273" s="273">
        <f t="shared" si="284"/>
        <v>6.1108225290723371E-2</v>
      </c>
      <c r="AX273" s="145"/>
    </row>
    <row r="274" spans="7:50">
      <c r="AU274" s="251" t="s">
        <v>576</v>
      </c>
      <c r="AV274" s="264">
        <f>SUM(AV264:AV273)</f>
        <v>23815681</v>
      </c>
      <c r="AW274" s="274">
        <f>SUM(AW264:AW273)</f>
        <v>1</v>
      </c>
      <c r="AX274" s="145"/>
    </row>
    <row r="275" spans="7:50">
      <c r="G275" s="230" t="s">
        <v>145</v>
      </c>
      <c r="H275" s="230" t="s">
        <v>170</v>
      </c>
      <c r="J275" s="230" t="s">
        <v>145</v>
      </c>
      <c r="K275" s="230" t="s">
        <v>170</v>
      </c>
      <c r="M275" s="230" t="s">
        <v>145</v>
      </c>
      <c r="N275" s="230" t="s">
        <v>170</v>
      </c>
      <c r="P275" s="230" t="s">
        <v>145</v>
      </c>
      <c r="Q275" s="230" t="s">
        <v>170</v>
      </c>
      <c r="S275" s="230" t="s">
        <v>145</v>
      </c>
      <c r="T275" s="230" t="s">
        <v>170</v>
      </c>
      <c r="V275" s="230" t="s">
        <v>145</v>
      </c>
      <c r="W275" s="230" t="s">
        <v>170</v>
      </c>
      <c r="Y275" s="230" t="s">
        <v>145</v>
      </c>
      <c r="Z275" s="230" t="s">
        <v>170</v>
      </c>
      <c r="AB275" s="230" t="s">
        <v>145</v>
      </c>
      <c r="AC275" s="230" t="s">
        <v>170</v>
      </c>
      <c r="AE275" s="230" t="s">
        <v>145</v>
      </c>
      <c r="AF275" s="230" t="s">
        <v>170</v>
      </c>
      <c r="AH275" s="230" t="s">
        <v>145</v>
      </c>
      <c r="AI275" s="230" t="s">
        <v>170</v>
      </c>
      <c r="AK275" s="230" t="s">
        <v>145</v>
      </c>
      <c r="AL275" s="230" t="s">
        <v>170</v>
      </c>
      <c r="AN275" s="230" t="s">
        <v>145</v>
      </c>
      <c r="AO275" s="230" t="s">
        <v>170</v>
      </c>
      <c r="AQ275" s="230" t="s">
        <v>145</v>
      </c>
      <c r="AR275" s="230" t="s">
        <v>170</v>
      </c>
    </row>
    <row r="276" spans="7:50">
      <c r="G276" s="228" t="s">
        <v>204</v>
      </c>
      <c r="H276" s="231">
        <f>I264/H253</f>
        <v>0</v>
      </c>
      <c r="J276" s="228" t="s">
        <v>204</v>
      </c>
      <c r="K276" s="231">
        <f>L264/K253</f>
        <v>1</v>
      </c>
      <c r="M276" s="228" t="s">
        <v>204</v>
      </c>
      <c r="N276" s="231">
        <f>O264/N253</f>
        <v>1</v>
      </c>
      <c r="P276" s="228" t="s">
        <v>204</v>
      </c>
      <c r="Q276" s="231">
        <f>R264/Q253</f>
        <v>1.0529761904761905</v>
      </c>
      <c r="S276" s="228" t="s">
        <v>204</v>
      </c>
      <c r="T276" s="231">
        <f>U264/T253</f>
        <v>1</v>
      </c>
      <c r="V276" s="228" t="s">
        <v>204</v>
      </c>
      <c r="W276" s="231">
        <f>X264/W253</f>
        <v>1.3104157667386609</v>
      </c>
      <c r="Y276" s="228" t="s">
        <v>204</v>
      </c>
      <c r="Z276" s="231">
        <f>AA264/Z253</f>
        <v>1</v>
      </c>
      <c r="AB276" s="228" t="s">
        <v>204</v>
      </c>
      <c r="AC276" s="231">
        <f>AD264/AC253</f>
        <v>0.44565551706337325</v>
      </c>
      <c r="AE276" s="228" t="s">
        <v>204</v>
      </c>
      <c r="AF276" s="231">
        <f>AG264/AF253</f>
        <v>0.29374673019500958</v>
      </c>
      <c r="AH276" s="228" t="s">
        <v>204</v>
      </c>
      <c r="AI276" s="231">
        <f>AJ264/AI253</f>
        <v>0</v>
      </c>
      <c r="AK276" s="228" t="s">
        <v>204</v>
      </c>
      <c r="AL276" s="231">
        <f>AM264/AL253</f>
        <v>0</v>
      </c>
      <c r="AN276" s="228" t="s">
        <v>204</v>
      </c>
      <c r="AO276" s="231" t="e">
        <f>AP264/AO253</f>
        <v>#DIV/0!</v>
      </c>
      <c r="AQ276" s="228" t="s">
        <v>204</v>
      </c>
      <c r="AR276" s="231" t="e">
        <f>AS264/AR253</f>
        <v>#DIV/0!</v>
      </c>
    </row>
    <row r="277" spans="7:50">
      <c r="G277" s="228" t="s">
        <v>245</v>
      </c>
      <c r="H277" s="231" t="e">
        <f t="shared" ref="H277:H284" si="285">I265/H254</f>
        <v>#DIV/0!</v>
      </c>
      <c r="J277" s="228" t="s">
        <v>245</v>
      </c>
      <c r="K277" s="231" t="e">
        <f t="shared" ref="K277:K284" si="286">L265/K254</f>
        <v>#DIV/0!</v>
      </c>
      <c r="M277" s="228" t="s">
        <v>245</v>
      </c>
      <c r="N277" s="231" t="e">
        <f t="shared" ref="N277:N284" si="287">O265/N254</f>
        <v>#DIV/0!</v>
      </c>
      <c r="P277" s="228" t="s">
        <v>245</v>
      </c>
      <c r="Q277" s="231" t="e">
        <f t="shared" ref="Q277:Q284" si="288">R265/Q254</f>
        <v>#DIV/0!</v>
      </c>
      <c r="S277" s="228" t="s">
        <v>245</v>
      </c>
      <c r="T277" s="231" t="e">
        <f t="shared" ref="T277:T284" si="289">U265/T254</f>
        <v>#DIV/0!</v>
      </c>
      <c r="V277" s="228" t="s">
        <v>245</v>
      </c>
      <c r="W277" s="231" t="e">
        <f t="shared" ref="W277:W284" si="290">X265/W254</f>
        <v>#DIV/0!</v>
      </c>
      <c r="Y277" s="228" t="s">
        <v>245</v>
      </c>
      <c r="Z277" s="231" t="e">
        <f t="shared" ref="Z277:Z284" si="291">AA265/Z254</f>
        <v>#DIV/0!</v>
      </c>
      <c r="AB277" s="228" t="s">
        <v>245</v>
      </c>
      <c r="AC277" s="231" t="e">
        <f t="shared" ref="AC277:AC284" si="292">AD265/AC254</f>
        <v>#DIV/0!</v>
      </c>
      <c r="AE277" s="228" t="s">
        <v>245</v>
      </c>
      <c r="AF277" s="231" t="e">
        <f t="shared" ref="AF277:AF284" si="293">AG265/AF254</f>
        <v>#DIV/0!</v>
      </c>
      <c r="AH277" s="228" t="s">
        <v>245</v>
      </c>
      <c r="AI277" s="231" t="e">
        <f t="shared" ref="AI277:AI284" si="294">AJ265/AI254</f>
        <v>#DIV/0!</v>
      </c>
      <c r="AK277" s="228" t="s">
        <v>245</v>
      </c>
      <c r="AL277" s="231" t="e">
        <f t="shared" ref="AL277:AL284" si="295">AM265/AL254</f>
        <v>#DIV/0!</v>
      </c>
      <c r="AN277" s="228" t="s">
        <v>245</v>
      </c>
      <c r="AO277" s="231" t="e">
        <f t="shared" ref="AO277:AO284" si="296">AP265/AO254</f>
        <v>#DIV/0!</v>
      </c>
      <c r="AQ277" s="228" t="s">
        <v>245</v>
      </c>
      <c r="AR277" s="231" t="e">
        <f t="shared" ref="AR277:AR284" si="297">AS265/AR254</f>
        <v>#DIV/0!</v>
      </c>
    </row>
    <row r="278" spans="7:50">
      <c r="G278" s="228" t="s">
        <v>208</v>
      </c>
      <c r="H278" s="231" t="e">
        <f t="shared" si="285"/>
        <v>#DIV/0!</v>
      </c>
      <c r="J278" s="228" t="s">
        <v>208</v>
      </c>
      <c r="K278" s="231" t="e">
        <f t="shared" si="286"/>
        <v>#DIV/0!</v>
      </c>
      <c r="M278" s="228" t="s">
        <v>208</v>
      </c>
      <c r="N278" s="231">
        <f>O266/N255</f>
        <v>0.99943873427435481</v>
      </c>
      <c r="P278" s="228" t="s">
        <v>208</v>
      </c>
      <c r="Q278" s="231" t="e">
        <f t="shared" si="288"/>
        <v>#DIV/0!</v>
      </c>
      <c r="S278" s="228" t="s">
        <v>208</v>
      </c>
      <c r="T278" s="231" t="e">
        <f t="shared" si="289"/>
        <v>#DIV/0!</v>
      </c>
      <c r="V278" s="228" t="s">
        <v>208</v>
      </c>
      <c r="W278" s="231" t="e">
        <f t="shared" si="290"/>
        <v>#DIV/0!</v>
      </c>
      <c r="Y278" s="228" t="s">
        <v>208</v>
      </c>
      <c r="Z278" s="231">
        <f t="shared" si="291"/>
        <v>1</v>
      </c>
      <c r="AB278" s="228" t="s">
        <v>208</v>
      </c>
      <c r="AC278" s="231" t="e">
        <f t="shared" si="292"/>
        <v>#DIV/0!</v>
      </c>
      <c r="AE278" s="228" t="s">
        <v>208</v>
      </c>
      <c r="AF278" s="231" t="e">
        <f t="shared" si="293"/>
        <v>#DIV/0!</v>
      </c>
      <c r="AH278" s="228" t="s">
        <v>208</v>
      </c>
      <c r="AI278" s="231" t="e">
        <f t="shared" si="294"/>
        <v>#DIV/0!</v>
      </c>
      <c r="AK278" s="228" t="s">
        <v>208</v>
      </c>
      <c r="AL278" s="231" t="e">
        <f t="shared" si="295"/>
        <v>#DIV/0!</v>
      </c>
      <c r="AN278" s="228" t="s">
        <v>208</v>
      </c>
      <c r="AO278" s="231" t="e">
        <f t="shared" si="296"/>
        <v>#DIV/0!</v>
      </c>
      <c r="AQ278" s="228" t="s">
        <v>208</v>
      </c>
      <c r="AR278" s="231" t="e">
        <f t="shared" si="297"/>
        <v>#DIV/0!</v>
      </c>
    </row>
    <row r="279" spans="7:50">
      <c r="G279" s="228" t="s">
        <v>246</v>
      </c>
      <c r="H279" s="231">
        <f t="shared" si="285"/>
        <v>0</v>
      </c>
      <c r="J279" s="228" t="s">
        <v>246</v>
      </c>
      <c r="K279" s="231" t="e">
        <f t="shared" si="286"/>
        <v>#DIV/0!</v>
      </c>
      <c r="M279" s="228" t="s">
        <v>246</v>
      </c>
      <c r="N279" s="231" t="e">
        <f t="shared" si="287"/>
        <v>#DIV/0!</v>
      </c>
      <c r="P279" s="228" t="s">
        <v>246</v>
      </c>
      <c r="Q279" s="231" t="e">
        <f t="shared" si="288"/>
        <v>#DIV/0!</v>
      </c>
      <c r="S279" s="228" t="s">
        <v>246</v>
      </c>
      <c r="T279" s="231" t="e">
        <f t="shared" si="289"/>
        <v>#DIV/0!</v>
      </c>
      <c r="V279" s="228" t="s">
        <v>246</v>
      </c>
      <c r="W279" s="231" t="e">
        <f t="shared" si="290"/>
        <v>#DIV/0!</v>
      </c>
      <c r="Y279" s="228" t="s">
        <v>246</v>
      </c>
      <c r="Z279" s="231" t="e">
        <f t="shared" si="291"/>
        <v>#DIV/0!</v>
      </c>
      <c r="AB279" s="228" t="s">
        <v>246</v>
      </c>
      <c r="AC279" s="231">
        <f t="shared" si="292"/>
        <v>0</v>
      </c>
      <c r="AE279" s="228" t="s">
        <v>246</v>
      </c>
      <c r="AF279" s="231" t="e">
        <f t="shared" si="293"/>
        <v>#DIV/0!</v>
      </c>
      <c r="AH279" s="228" t="s">
        <v>246</v>
      </c>
      <c r="AI279" s="231" t="e">
        <f t="shared" si="294"/>
        <v>#DIV/0!</v>
      </c>
      <c r="AK279" s="228" t="s">
        <v>246</v>
      </c>
      <c r="AL279" s="231" t="e">
        <f t="shared" si="295"/>
        <v>#DIV/0!</v>
      </c>
      <c r="AN279" s="228" t="s">
        <v>246</v>
      </c>
      <c r="AO279" s="231" t="e">
        <f t="shared" si="296"/>
        <v>#DIV/0!</v>
      </c>
      <c r="AQ279" s="228" t="s">
        <v>246</v>
      </c>
      <c r="AR279" s="231" t="e">
        <f t="shared" si="297"/>
        <v>#DIV/0!</v>
      </c>
    </row>
    <row r="280" spans="7:50">
      <c r="G280" s="228" t="s">
        <v>247</v>
      </c>
      <c r="H280" s="231" t="e">
        <f t="shared" si="285"/>
        <v>#DIV/0!</v>
      </c>
      <c r="J280" s="228" t="s">
        <v>247</v>
      </c>
      <c r="K280" s="231" t="e">
        <f t="shared" si="286"/>
        <v>#DIV/0!</v>
      </c>
      <c r="M280" s="228" t="s">
        <v>247</v>
      </c>
      <c r="N280" s="231" t="e">
        <f t="shared" si="287"/>
        <v>#DIV/0!</v>
      </c>
      <c r="P280" s="228" t="s">
        <v>247</v>
      </c>
      <c r="Q280" s="231" t="e">
        <f t="shared" si="288"/>
        <v>#DIV/0!</v>
      </c>
      <c r="S280" s="228" t="s">
        <v>247</v>
      </c>
      <c r="T280" s="231" t="e">
        <f t="shared" si="289"/>
        <v>#DIV/0!</v>
      </c>
      <c r="V280" s="228" t="s">
        <v>247</v>
      </c>
      <c r="W280" s="231" t="e">
        <f t="shared" si="290"/>
        <v>#DIV/0!</v>
      </c>
      <c r="Y280" s="228" t="s">
        <v>247</v>
      </c>
      <c r="Z280" s="231" t="e">
        <f t="shared" si="291"/>
        <v>#DIV/0!</v>
      </c>
      <c r="AB280" s="228" t="s">
        <v>247</v>
      </c>
      <c r="AC280" s="231" t="e">
        <f t="shared" si="292"/>
        <v>#DIV/0!</v>
      </c>
      <c r="AE280" s="228" t="s">
        <v>247</v>
      </c>
      <c r="AF280" s="231" t="e">
        <f t="shared" si="293"/>
        <v>#DIV/0!</v>
      </c>
      <c r="AH280" s="228" t="s">
        <v>247</v>
      </c>
      <c r="AI280" s="231" t="e">
        <f t="shared" si="294"/>
        <v>#DIV/0!</v>
      </c>
      <c r="AK280" s="228" t="s">
        <v>247</v>
      </c>
      <c r="AL280" s="231" t="e">
        <f t="shared" si="295"/>
        <v>#DIV/0!</v>
      </c>
      <c r="AN280" s="228" t="s">
        <v>247</v>
      </c>
      <c r="AO280" s="231" t="e">
        <f t="shared" si="296"/>
        <v>#DIV/0!</v>
      </c>
      <c r="AQ280" s="228" t="s">
        <v>247</v>
      </c>
      <c r="AR280" s="231" t="e">
        <f t="shared" si="297"/>
        <v>#DIV/0!</v>
      </c>
    </row>
    <row r="281" spans="7:50">
      <c r="G281" s="228" t="s">
        <v>654</v>
      </c>
      <c r="H281" s="231" t="e">
        <f t="shared" si="285"/>
        <v>#DIV/0!</v>
      </c>
      <c r="J281" s="228" t="s">
        <v>654</v>
      </c>
      <c r="K281" s="231" t="e">
        <f t="shared" si="286"/>
        <v>#DIV/0!</v>
      </c>
      <c r="M281" s="228" t="s">
        <v>654</v>
      </c>
      <c r="N281" s="231" t="e">
        <f t="shared" si="287"/>
        <v>#DIV/0!</v>
      </c>
      <c r="P281" s="228" t="s">
        <v>654</v>
      </c>
      <c r="Q281" s="231" t="e">
        <f t="shared" si="288"/>
        <v>#DIV/0!</v>
      </c>
      <c r="S281" s="228" t="s">
        <v>654</v>
      </c>
      <c r="T281" s="231" t="e">
        <f t="shared" si="289"/>
        <v>#DIV/0!</v>
      </c>
      <c r="V281" s="228" t="s">
        <v>654</v>
      </c>
      <c r="W281" s="231" t="e">
        <f t="shared" si="290"/>
        <v>#DIV/0!</v>
      </c>
      <c r="Y281" s="228" t="s">
        <v>654</v>
      </c>
      <c r="Z281" s="231" t="e">
        <f t="shared" si="291"/>
        <v>#DIV/0!</v>
      </c>
      <c r="AB281" s="228" t="s">
        <v>654</v>
      </c>
      <c r="AC281" s="231" t="e">
        <f t="shared" si="292"/>
        <v>#DIV/0!</v>
      </c>
      <c r="AE281" s="228" t="s">
        <v>654</v>
      </c>
      <c r="AF281" s="231" t="e">
        <f t="shared" si="293"/>
        <v>#DIV/0!</v>
      </c>
      <c r="AH281" s="228" t="s">
        <v>654</v>
      </c>
      <c r="AI281" s="231" t="e">
        <f t="shared" si="294"/>
        <v>#DIV/0!</v>
      </c>
      <c r="AK281" s="228" t="s">
        <v>654</v>
      </c>
      <c r="AL281" s="231" t="e">
        <f t="shared" si="295"/>
        <v>#DIV/0!</v>
      </c>
      <c r="AN281" s="228" t="s">
        <v>654</v>
      </c>
      <c r="AO281" s="231" t="e">
        <f t="shared" si="296"/>
        <v>#DIV/0!</v>
      </c>
      <c r="AQ281" s="228" t="s">
        <v>654</v>
      </c>
      <c r="AR281" s="231" t="e">
        <f t="shared" si="297"/>
        <v>#DIV/0!</v>
      </c>
    </row>
    <row r="282" spans="7:50">
      <c r="G282" s="228" t="s">
        <v>88</v>
      </c>
      <c r="H282" s="231">
        <f t="shared" si="285"/>
        <v>1</v>
      </c>
      <c r="J282" s="228" t="s">
        <v>88</v>
      </c>
      <c r="K282" s="231">
        <f t="shared" si="286"/>
        <v>1</v>
      </c>
      <c r="M282" s="228" t="s">
        <v>88</v>
      </c>
      <c r="N282" s="231" t="e">
        <f t="shared" si="287"/>
        <v>#DIV/0!</v>
      </c>
      <c r="P282" s="228" t="s">
        <v>88</v>
      </c>
      <c r="Q282" s="231" t="e">
        <f t="shared" si="288"/>
        <v>#DIV/0!</v>
      </c>
      <c r="S282" s="228" t="s">
        <v>88</v>
      </c>
      <c r="T282" s="231" t="e">
        <f t="shared" si="289"/>
        <v>#DIV/0!</v>
      </c>
      <c r="V282" s="228" t="s">
        <v>88</v>
      </c>
      <c r="W282" s="231" t="e">
        <f t="shared" si="290"/>
        <v>#DIV/0!</v>
      </c>
      <c r="Y282" s="228" t="s">
        <v>88</v>
      </c>
      <c r="Z282" s="231" t="e">
        <f t="shared" si="291"/>
        <v>#DIV/0!</v>
      </c>
      <c r="AB282" s="228" t="s">
        <v>88</v>
      </c>
      <c r="AC282" s="231" t="e">
        <f t="shared" si="292"/>
        <v>#DIV/0!</v>
      </c>
      <c r="AE282" s="228" t="s">
        <v>88</v>
      </c>
      <c r="AF282" s="231" t="e">
        <f t="shared" si="293"/>
        <v>#DIV/0!</v>
      </c>
      <c r="AH282" s="228" t="s">
        <v>88</v>
      </c>
      <c r="AI282" s="231" t="e">
        <f t="shared" si="294"/>
        <v>#DIV/0!</v>
      </c>
      <c r="AK282" s="228" t="s">
        <v>88</v>
      </c>
      <c r="AL282" s="231" t="e">
        <f t="shared" si="295"/>
        <v>#DIV/0!</v>
      </c>
      <c r="AN282" s="228" t="s">
        <v>88</v>
      </c>
      <c r="AO282" s="231" t="e">
        <f t="shared" si="296"/>
        <v>#DIV/0!</v>
      </c>
      <c r="AQ282" s="228" t="s">
        <v>88</v>
      </c>
      <c r="AR282" s="231" t="e">
        <f t="shared" si="297"/>
        <v>#DIV/0!</v>
      </c>
    </row>
    <row r="283" spans="7:50">
      <c r="G283" s="228" t="s">
        <v>249</v>
      </c>
      <c r="H283" s="231" t="e">
        <f t="shared" si="285"/>
        <v>#DIV/0!</v>
      </c>
      <c r="J283" s="228" t="s">
        <v>249</v>
      </c>
      <c r="K283" s="231" t="e">
        <f t="shared" si="286"/>
        <v>#DIV/0!</v>
      </c>
      <c r="M283" s="228" t="s">
        <v>249</v>
      </c>
      <c r="N283" s="231" t="e">
        <f t="shared" si="287"/>
        <v>#DIV/0!</v>
      </c>
      <c r="P283" s="228" t="s">
        <v>249</v>
      </c>
      <c r="Q283" s="231" t="e">
        <f t="shared" si="288"/>
        <v>#DIV/0!</v>
      </c>
      <c r="S283" s="228" t="s">
        <v>249</v>
      </c>
      <c r="T283" s="231" t="e">
        <f t="shared" si="289"/>
        <v>#DIV/0!</v>
      </c>
      <c r="V283" s="228" t="s">
        <v>249</v>
      </c>
      <c r="W283" s="231" t="e">
        <f t="shared" si="290"/>
        <v>#DIV/0!</v>
      </c>
      <c r="Y283" s="228" t="s">
        <v>249</v>
      </c>
      <c r="Z283" s="231" t="e">
        <f t="shared" si="291"/>
        <v>#DIV/0!</v>
      </c>
      <c r="AB283" s="228" t="s">
        <v>249</v>
      </c>
      <c r="AC283" s="231" t="e">
        <f t="shared" si="292"/>
        <v>#DIV/0!</v>
      </c>
      <c r="AE283" s="228" t="s">
        <v>249</v>
      </c>
      <c r="AF283" s="231" t="e">
        <f t="shared" si="293"/>
        <v>#DIV/0!</v>
      </c>
      <c r="AH283" s="228" t="s">
        <v>249</v>
      </c>
      <c r="AI283" s="231" t="e">
        <f t="shared" si="294"/>
        <v>#DIV/0!</v>
      </c>
      <c r="AK283" s="228" t="s">
        <v>249</v>
      </c>
      <c r="AL283" s="231" t="e">
        <f t="shared" si="295"/>
        <v>#DIV/0!</v>
      </c>
      <c r="AN283" s="228" t="s">
        <v>249</v>
      </c>
      <c r="AO283" s="231" t="e">
        <f t="shared" si="296"/>
        <v>#DIV/0!</v>
      </c>
      <c r="AQ283" s="228" t="s">
        <v>249</v>
      </c>
      <c r="AR283" s="231" t="e">
        <f t="shared" si="297"/>
        <v>#DIV/0!</v>
      </c>
    </row>
    <row r="284" spans="7:50">
      <c r="G284" s="228" t="s">
        <v>649</v>
      </c>
      <c r="H284" s="231" t="e">
        <f t="shared" si="285"/>
        <v>#DIV/0!</v>
      </c>
      <c r="J284" s="228" t="s">
        <v>649</v>
      </c>
      <c r="K284" s="231" t="e">
        <f t="shared" si="286"/>
        <v>#DIV/0!</v>
      </c>
      <c r="M284" s="228" t="s">
        <v>649</v>
      </c>
      <c r="N284" s="231" t="e">
        <f t="shared" si="287"/>
        <v>#DIV/0!</v>
      </c>
      <c r="P284" s="228" t="s">
        <v>649</v>
      </c>
      <c r="Q284" s="231" t="e">
        <f t="shared" si="288"/>
        <v>#DIV/0!</v>
      </c>
      <c r="S284" s="228" t="s">
        <v>649</v>
      </c>
      <c r="T284" s="231">
        <f t="shared" si="289"/>
        <v>1</v>
      </c>
      <c r="V284" s="228" t="s">
        <v>649</v>
      </c>
      <c r="W284" s="231" t="e">
        <f t="shared" si="290"/>
        <v>#DIV/0!</v>
      </c>
      <c r="Y284" s="228" t="s">
        <v>649</v>
      </c>
      <c r="Z284" s="231" t="e">
        <f t="shared" si="291"/>
        <v>#DIV/0!</v>
      </c>
      <c r="AB284" s="228" t="s">
        <v>649</v>
      </c>
      <c r="AC284" s="231">
        <f t="shared" si="292"/>
        <v>0</v>
      </c>
      <c r="AE284" s="228" t="s">
        <v>649</v>
      </c>
      <c r="AF284" s="231" t="e">
        <f t="shared" si="293"/>
        <v>#DIV/0!</v>
      </c>
      <c r="AH284" s="228" t="s">
        <v>649</v>
      </c>
      <c r="AI284" s="231" t="e">
        <f t="shared" si="294"/>
        <v>#DIV/0!</v>
      </c>
      <c r="AK284" s="228" t="s">
        <v>649</v>
      </c>
      <c r="AL284" s="231" t="e">
        <f t="shared" si="295"/>
        <v>#DIV/0!</v>
      </c>
      <c r="AN284" s="228" t="s">
        <v>649</v>
      </c>
      <c r="AO284" s="231" t="e">
        <f t="shared" si="296"/>
        <v>#DIV/0!</v>
      </c>
      <c r="AQ284" s="228" t="s">
        <v>649</v>
      </c>
      <c r="AR284" s="231" t="e">
        <f t="shared" si="297"/>
        <v>#DIV/0!</v>
      </c>
    </row>
    <row r="286" spans="7:50" ht="43.15">
      <c r="G286" s="234" t="s">
        <v>173</v>
      </c>
      <c r="H286" s="235" t="s">
        <v>174</v>
      </c>
      <c r="I286" s="235" t="s">
        <v>175</v>
      </c>
      <c r="J286" s="234" t="s">
        <v>173</v>
      </c>
      <c r="K286" s="235" t="s">
        <v>174</v>
      </c>
      <c r="L286" s="235" t="s">
        <v>175</v>
      </c>
      <c r="M286" s="234" t="s">
        <v>173</v>
      </c>
      <c r="N286" s="235" t="s">
        <v>174</v>
      </c>
      <c r="O286" s="235" t="s">
        <v>175</v>
      </c>
      <c r="P286" s="234" t="s">
        <v>173</v>
      </c>
      <c r="Q286" s="235" t="s">
        <v>174</v>
      </c>
      <c r="R286" s="235" t="s">
        <v>175</v>
      </c>
      <c r="S286" s="234" t="s">
        <v>173</v>
      </c>
      <c r="T286" s="235" t="s">
        <v>174</v>
      </c>
      <c r="U286" s="235" t="s">
        <v>175</v>
      </c>
      <c r="V286" s="234" t="s">
        <v>173</v>
      </c>
      <c r="W286" s="235" t="s">
        <v>174</v>
      </c>
      <c r="X286" s="235" t="s">
        <v>175</v>
      </c>
      <c r="Y286" s="234" t="s">
        <v>173</v>
      </c>
      <c r="Z286" s="235" t="s">
        <v>174</v>
      </c>
      <c r="AA286" s="235" t="s">
        <v>175</v>
      </c>
      <c r="AB286" s="234" t="s">
        <v>173</v>
      </c>
      <c r="AC286" s="235" t="s">
        <v>174</v>
      </c>
      <c r="AD286" s="235" t="s">
        <v>175</v>
      </c>
      <c r="AE286" s="234" t="s">
        <v>173</v>
      </c>
      <c r="AF286" s="235" t="s">
        <v>174</v>
      </c>
      <c r="AG286" s="235" t="s">
        <v>175</v>
      </c>
      <c r="AH286" s="234" t="s">
        <v>173</v>
      </c>
      <c r="AI286" s="235" t="s">
        <v>174</v>
      </c>
      <c r="AJ286" s="235" t="s">
        <v>175</v>
      </c>
      <c r="AK286" s="234" t="s">
        <v>173</v>
      </c>
      <c r="AL286" s="235" t="s">
        <v>174</v>
      </c>
      <c r="AM286" s="236" t="s">
        <v>175</v>
      </c>
      <c r="AN286" s="234" t="s">
        <v>173</v>
      </c>
      <c r="AO286" s="235" t="s">
        <v>174</v>
      </c>
      <c r="AP286" s="236" t="s">
        <v>175</v>
      </c>
      <c r="AQ286" s="234" t="s">
        <v>173</v>
      </c>
      <c r="AR286" s="235" t="s">
        <v>174</v>
      </c>
      <c r="AS286" s="236" t="s">
        <v>175</v>
      </c>
      <c r="AU286" s="145" t="s">
        <v>173</v>
      </c>
      <c r="AV286" s="228" t="s">
        <v>655</v>
      </c>
      <c r="AW286" s="228" t="s">
        <v>656</v>
      </c>
    </row>
    <row r="287" spans="7:50">
      <c r="G287" s="237" t="s">
        <v>177</v>
      </c>
      <c r="I287" s="171">
        <f>H287/$H$292</f>
        <v>0</v>
      </c>
      <c r="J287" s="237" t="s">
        <v>177</v>
      </c>
      <c r="K287" s="197"/>
      <c r="L287" s="171">
        <f>K287/$K$292</f>
        <v>0</v>
      </c>
      <c r="M287" s="237" t="s">
        <v>177</v>
      </c>
      <c r="O287" s="171">
        <f>N287/$N$292</f>
        <v>0</v>
      </c>
      <c r="P287" s="237" t="s">
        <v>177</v>
      </c>
      <c r="R287" s="171">
        <f>Q287/$Q$292</f>
        <v>0</v>
      </c>
      <c r="S287" s="237" t="s">
        <v>177</v>
      </c>
      <c r="U287" s="171">
        <f>T287/$T$292</f>
        <v>0</v>
      </c>
      <c r="V287" s="237" t="s">
        <v>177</v>
      </c>
      <c r="X287" s="171">
        <f>W287/$W$292</f>
        <v>0</v>
      </c>
      <c r="Y287" s="237" t="s">
        <v>177</v>
      </c>
      <c r="AA287" s="171">
        <f>Z287/$Z$292</f>
        <v>0</v>
      </c>
      <c r="AB287" s="237" t="s">
        <v>177</v>
      </c>
      <c r="AD287" s="171">
        <f>AC287/$AC$292</f>
        <v>0</v>
      </c>
      <c r="AE287" s="237" t="s">
        <v>177</v>
      </c>
      <c r="AG287" s="171">
        <f>AF287/$AF$292</f>
        <v>0</v>
      </c>
      <c r="AH287" s="237" t="s">
        <v>177</v>
      </c>
      <c r="AJ287" s="171">
        <f>AI287/$AI$292</f>
        <v>0</v>
      </c>
      <c r="AK287" s="237" t="s">
        <v>177</v>
      </c>
      <c r="AM287" s="256" t="e">
        <f>AL287/$AR$292</f>
        <v>#DIV/0!</v>
      </c>
      <c r="AN287" s="237" t="s">
        <v>177</v>
      </c>
      <c r="AP287" s="256" t="e">
        <f>AO287/$AR$292</f>
        <v>#DIV/0!</v>
      </c>
      <c r="AQ287" s="237" t="s">
        <v>177</v>
      </c>
      <c r="AS287" s="256" t="e">
        <f>AR287/$AR$292</f>
        <v>#DIV/0!</v>
      </c>
      <c r="AU287" s="145" t="s">
        <v>177</v>
      </c>
      <c r="AV287" s="233">
        <f>SUM(H287,K287,N287,Q287,T287,W287,Z287,AC287,AF287,AI287,AR287,AL287,AO287)</f>
        <v>0</v>
      </c>
      <c r="AW287" s="231">
        <f>AV287/$AV$292</f>
        <v>0</v>
      </c>
    </row>
    <row r="288" spans="7:50">
      <c r="G288" s="237" t="s">
        <v>178</v>
      </c>
      <c r="I288" s="171">
        <f t="shared" ref="I288:I291" si="298">H288/$H$292</f>
        <v>0</v>
      </c>
      <c r="J288" s="237" t="s">
        <v>178</v>
      </c>
      <c r="K288" s="197">
        <f>SUM(J128:J136)</f>
        <v>135000</v>
      </c>
      <c r="L288" s="171">
        <f t="shared" ref="L288:L291" si="299">K288/$K$292</f>
        <v>9.0016142894959156E-2</v>
      </c>
      <c r="M288" s="237" t="s">
        <v>178</v>
      </c>
      <c r="N288" s="56">
        <f>SUM(M18:M26)</f>
        <v>299978</v>
      </c>
      <c r="O288" s="171">
        <f t="shared" ref="O288:O291" si="300">N288/$N$292</f>
        <v>0.21660187388802885</v>
      </c>
      <c r="P288" s="237" t="s">
        <v>178</v>
      </c>
      <c r="Q288" s="56">
        <f>SUM(P128:P136)</f>
        <v>135000</v>
      </c>
      <c r="R288" s="171">
        <f t="shared" ref="R288:R291" si="301">Q288/$Q$292</f>
        <v>0.5357142857142857</v>
      </c>
      <c r="S288" s="237" t="s">
        <v>178</v>
      </c>
      <c r="T288" s="56">
        <f>SUM(S51:S59)</f>
        <v>68000</v>
      </c>
      <c r="U288" s="171">
        <f t="shared" ref="U288:U291" si="302">T288/$T$292</f>
        <v>6.9886947584789305E-2</v>
      </c>
      <c r="V288" s="237" t="s">
        <v>178</v>
      </c>
      <c r="X288" s="171">
        <f t="shared" ref="X288:X291" si="303">W288/$W$292</f>
        <v>0</v>
      </c>
      <c r="Y288" s="237" t="s">
        <v>178</v>
      </c>
      <c r="AA288" s="171">
        <f t="shared" ref="AA288:AA291" si="304">Z288/$Z$292</f>
        <v>0</v>
      </c>
      <c r="AB288" s="237" t="s">
        <v>178</v>
      </c>
      <c r="AC288" s="56">
        <f>SUM(AB51:AB59,AB128:AB136)</f>
        <v>2200000</v>
      </c>
      <c r="AD288" s="171">
        <f t="shared" ref="AD288:AD291" si="305">AC288/$AC$292</f>
        <v>0.83333333333333337</v>
      </c>
      <c r="AE288" s="237" t="s">
        <v>178</v>
      </c>
      <c r="AF288" s="56">
        <v>688000</v>
      </c>
      <c r="AG288" s="171">
        <f t="shared" ref="AG288:AG291" si="306">AF288/$AF$292</f>
        <v>0.38424012326959306</v>
      </c>
      <c r="AH288" s="237" t="s">
        <v>178</v>
      </c>
      <c r="AJ288" s="171">
        <f t="shared" ref="AJ288:AJ291" si="307">AI288/$AI$292</f>
        <v>0</v>
      </c>
      <c r="AK288" s="237" t="s">
        <v>178</v>
      </c>
      <c r="AM288" s="256" t="e">
        <f t="shared" ref="AM288:AM291" si="308">AL288/$AR$292</f>
        <v>#DIV/0!</v>
      </c>
      <c r="AN288" s="237" t="s">
        <v>178</v>
      </c>
      <c r="AP288" s="256" t="e">
        <f t="shared" ref="AP288:AP291" si="309">AO288/$AR$292</f>
        <v>#DIV/0!</v>
      </c>
      <c r="AQ288" s="237" t="s">
        <v>178</v>
      </c>
      <c r="AS288" s="256" t="e">
        <f t="shared" ref="AS288:AS291" si="310">AR288/$AR$292</f>
        <v>#DIV/0!</v>
      </c>
      <c r="AU288" s="145" t="s">
        <v>178</v>
      </c>
      <c r="AV288" s="233">
        <f>SUM(H288,K288,N288,Q288,T288,W288,Z288,AC288,AF288,AI288,AR288,AL288,AO288)</f>
        <v>3525978</v>
      </c>
      <c r="AW288" s="231">
        <f t="shared" ref="AW288:AW291" si="311">AV288/$AV$292</f>
        <v>0.17999448374212398</v>
      </c>
    </row>
    <row r="289" spans="7:49">
      <c r="G289" s="237" t="s">
        <v>179</v>
      </c>
      <c r="H289" s="56">
        <f>SUM(G196:G204,G161:G169,G95:G103,G229:G237)</f>
        <v>734611</v>
      </c>
      <c r="I289" s="171">
        <f t="shared" si="298"/>
        <v>0.90325059603072433</v>
      </c>
      <c r="J289" s="237" t="s">
        <v>179</v>
      </c>
      <c r="K289" s="197">
        <f>SUM(J196:J204)</f>
        <v>1241531</v>
      </c>
      <c r="L289" s="171">
        <f t="shared" si="299"/>
        <v>0.82783579188534473</v>
      </c>
      <c r="M289" s="237" t="s">
        <v>179</v>
      </c>
      <c r="N289" s="56">
        <f>SUM(N273,M40:M48,M7:M15)</f>
        <v>1084950</v>
      </c>
      <c r="O289" s="171">
        <f t="shared" si="300"/>
        <v>0.78339812611197113</v>
      </c>
      <c r="P289" s="237" t="s">
        <v>179</v>
      </c>
      <c r="Q289" s="56">
        <f>SUM(P95:P103)</f>
        <v>117000</v>
      </c>
      <c r="R289" s="171">
        <f t="shared" si="301"/>
        <v>0.4642857142857143</v>
      </c>
      <c r="S289" s="237" t="s">
        <v>179</v>
      </c>
      <c r="T289" s="56">
        <f>SUM(S185:S193,S117:S125,S84:S92,S73:S81,S62:S70)</f>
        <v>905000</v>
      </c>
      <c r="U289" s="171">
        <f t="shared" si="302"/>
        <v>0.93011305241521069</v>
      </c>
      <c r="V289" s="237" t="s">
        <v>179</v>
      </c>
      <c r="W289" s="56">
        <f>SUM(V106:V114)</f>
        <v>185200</v>
      </c>
      <c r="X289" s="171">
        <f t="shared" si="303"/>
        <v>1</v>
      </c>
      <c r="Y289" s="237" t="s">
        <v>179</v>
      </c>
      <c r="Z289" s="56">
        <f>SUM(Y117:Y125,Y29:Y37)</f>
        <v>1355344</v>
      </c>
      <c r="AA289" s="171">
        <f t="shared" si="304"/>
        <v>1</v>
      </c>
      <c r="AB289" s="237" t="s">
        <v>179</v>
      </c>
      <c r="AC289" s="56">
        <f>SUM(AB62:AB70,AB73:AB81,AB84:AB92,AB106:AB114,AB150:AB158,AB172:AB182,AB185:AB193)</f>
        <v>440000</v>
      </c>
      <c r="AD289" s="171">
        <f t="shared" si="305"/>
        <v>0.16666666666666666</v>
      </c>
      <c r="AE289" s="237" t="s">
        <v>179</v>
      </c>
      <c r="AF289" s="56">
        <f>SUM(AE40:AE48,AE62:AE70,AE150:AE158,AE172:AE182,AE73:AE81,AE106:AE114)</f>
        <v>1102547</v>
      </c>
      <c r="AG289" s="171">
        <f t="shared" si="306"/>
        <v>0.615759876730407</v>
      </c>
      <c r="AH289" s="237" t="s">
        <v>179</v>
      </c>
      <c r="AI289" s="56">
        <f>SUM(AH73:AH81,AH84:AH92,AH62:AH70)</f>
        <v>3155320</v>
      </c>
      <c r="AJ289" s="171">
        <f t="shared" si="307"/>
        <v>1</v>
      </c>
      <c r="AK289" s="237" t="s">
        <v>179</v>
      </c>
      <c r="AL289" s="56">
        <f>SUM(AK139:AK147,AK106:AK114)</f>
        <v>5540000</v>
      </c>
      <c r="AM289" s="256">
        <f>AL289/$AL$292</f>
        <v>1</v>
      </c>
      <c r="AN289" s="237" t="s">
        <v>179</v>
      </c>
      <c r="AO289" s="56">
        <f>SUM(AN139:AN147)</f>
        <v>0</v>
      </c>
      <c r="AP289" s="256" t="e">
        <f t="shared" si="309"/>
        <v>#DIV/0!</v>
      </c>
      <c r="AQ289" s="237" t="s">
        <v>179</v>
      </c>
      <c r="AR289" s="56">
        <f>SUM(AQ139:AQ147)</f>
        <v>0</v>
      </c>
      <c r="AS289" s="256" t="e">
        <f t="shared" si="310"/>
        <v>#DIV/0!</v>
      </c>
      <c r="AU289" s="145" t="s">
        <v>179</v>
      </c>
      <c r="AV289" s="233">
        <f>SUM(H289,K289,N289,Q289,T289,W289,Z289,AC289,AF289,AI289,AR289,AL289,AO289)</f>
        <v>15861503</v>
      </c>
      <c r="AW289" s="231">
        <f t="shared" si="311"/>
        <v>0.80969961918626565</v>
      </c>
    </row>
    <row r="290" spans="7:49">
      <c r="G290" s="237" t="s">
        <v>180</v>
      </c>
      <c r="H290" s="56">
        <v>78686</v>
      </c>
      <c r="I290" s="171">
        <f t="shared" si="298"/>
        <v>9.6749403969275671E-2</v>
      </c>
      <c r="J290" s="237" t="s">
        <v>180</v>
      </c>
      <c r="K290" s="197">
        <v>123200</v>
      </c>
      <c r="L290" s="171">
        <f t="shared" si="299"/>
        <v>8.2148065219696059E-2</v>
      </c>
      <c r="M290" s="237" t="s">
        <v>180</v>
      </c>
      <c r="O290" s="171">
        <f t="shared" si="300"/>
        <v>0</v>
      </c>
      <c r="P290" s="237" t="s">
        <v>180</v>
      </c>
      <c r="R290" s="171">
        <f t="shared" si="301"/>
        <v>0</v>
      </c>
      <c r="S290" s="237" t="s">
        <v>180</v>
      </c>
      <c r="U290" s="171">
        <f t="shared" si="302"/>
        <v>0</v>
      </c>
      <c r="V290" s="237" t="s">
        <v>180</v>
      </c>
      <c r="X290" s="171">
        <f t="shared" si="303"/>
        <v>0</v>
      </c>
      <c r="Y290" s="237" t="s">
        <v>180</v>
      </c>
      <c r="AA290" s="171">
        <f t="shared" si="304"/>
        <v>0</v>
      </c>
      <c r="AB290" s="237" t="s">
        <v>180</v>
      </c>
      <c r="AD290" s="171">
        <f t="shared" si="305"/>
        <v>0</v>
      </c>
      <c r="AE290" s="237" t="s">
        <v>180</v>
      </c>
      <c r="AG290" s="171">
        <f t="shared" si="306"/>
        <v>0</v>
      </c>
      <c r="AH290" s="237" t="s">
        <v>180</v>
      </c>
      <c r="AJ290" s="171">
        <f t="shared" si="307"/>
        <v>0</v>
      </c>
      <c r="AK290" s="237" t="s">
        <v>180</v>
      </c>
      <c r="AM290" s="256" t="e">
        <f t="shared" si="308"/>
        <v>#DIV/0!</v>
      </c>
      <c r="AN290" s="237" t="s">
        <v>180</v>
      </c>
      <c r="AP290" s="256" t="e">
        <f t="shared" si="309"/>
        <v>#DIV/0!</v>
      </c>
      <c r="AQ290" s="237" t="s">
        <v>180</v>
      </c>
      <c r="AS290" s="256" t="e">
        <f t="shared" si="310"/>
        <v>#DIV/0!</v>
      </c>
      <c r="AU290" s="145" t="s">
        <v>180</v>
      </c>
      <c r="AV290" s="233">
        <f>SUM(H290,K290,N290,Q290,T290,W290,Z290,AC290,AF290,AI290,AR290,AL290,AO290)</f>
        <v>201886</v>
      </c>
      <c r="AW290" s="231">
        <f t="shared" si="311"/>
        <v>1.0305897071610328E-2</v>
      </c>
    </row>
    <row r="291" spans="7:49">
      <c r="G291" s="239" t="s">
        <v>41</v>
      </c>
      <c r="H291" s="240"/>
      <c r="I291" s="171">
        <f t="shared" si="298"/>
        <v>0</v>
      </c>
      <c r="J291" s="239" t="s">
        <v>41</v>
      </c>
      <c r="K291" s="257"/>
      <c r="L291" s="171">
        <f t="shared" si="299"/>
        <v>0</v>
      </c>
      <c r="M291" s="239" t="s">
        <v>41</v>
      </c>
      <c r="N291" s="240"/>
      <c r="O291" s="171">
        <f t="shared" si="300"/>
        <v>0</v>
      </c>
      <c r="P291" s="239" t="s">
        <v>41</v>
      </c>
      <c r="Q291" s="240"/>
      <c r="R291" s="171">
        <f t="shared" si="301"/>
        <v>0</v>
      </c>
      <c r="S291" s="239" t="s">
        <v>41</v>
      </c>
      <c r="T291" s="240"/>
      <c r="U291" s="171">
        <f t="shared" si="302"/>
        <v>0</v>
      </c>
      <c r="V291" s="239" t="s">
        <v>41</v>
      </c>
      <c r="W291" s="240"/>
      <c r="X291" s="171">
        <f t="shared" si="303"/>
        <v>0</v>
      </c>
      <c r="Y291" s="239" t="s">
        <v>41</v>
      </c>
      <c r="Z291" s="240"/>
      <c r="AA291" s="171">
        <f t="shared" si="304"/>
        <v>0</v>
      </c>
      <c r="AB291" s="239" t="s">
        <v>41</v>
      </c>
      <c r="AC291" s="240"/>
      <c r="AD291" s="171">
        <f t="shared" si="305"/>
        <v>0</v>
      </c>
      <c r="AE291" s="239" t="s">
        <v>41</v>
      </c>
      <c r="AF291" s="240"/>
      <c r="AG291" s="171">
        <f t="shared" si="306"/>
        <v>0</v>
      </c>
      <c r="AH291" s="239" t="s">
        <v>41</v>
      </c>
      <c r="AI291" s="240"/>
      <c r="AJ291" s="171">
        <f t="shared" si="307"/>
        <v>0</v>
      </c>
      <c r="AK291" s="239" t="s">
        <v>41</v>
      </c>
      <c r="AL291" s="240"/>
      <c r="AM291" s="256" t="e">
        <f t="shared" si="308"/>
        <v>#DIV/0!</v>
      </c>
      <c r="AN291" s="239" t="s">
        <v>41</v>
      </c>
      <c r="AO291" s="240"/>
      <c r="AP291" s="256" t="e">
        <f t="shared" si="309"/>
        <v>#DIV/0!</v>
      </c>
      <c r="AQ291" s="239" t="s">
        <v>41</v>
      </c>
      <c r="AR291" s="240"/>
      <c r="AS291" s="256" t="e">
        <f t="shared" si="310"/>
        <v>#DIV/0!</v>
      </c>
      <c r="AU291" s="145" t="s">
        <v>41</v>
      </c>
      <c r="AV291" s="233">
        <f>SUM(H291,K291,N291,Q291,T291,W291,Z291,AC291,AF291,AI291,AR291,AL291,AO291)</f>
        <v>0</v>
      </c>
      <c r="AW291" s="231">
        <f t="shared" si="311"/>
        <v>0</v>
      </c>
    </row>
    <row r="292" spans="7:49">
      <c r="G292" t="s">
        <v>181</v>
      </c>
      <c r="H292" s="197">
        <f>SUM(H287:H291)</f>
        <v>813297</v>
      </c>
      <c r="I292" s="171">
        <f>SUM(I287:I291)</f>
        <v>1</v>
      </c>
      <c r="J292" t="s">
        <v>181</v>
      </c>
      <c r="K292" s="197">
        <f>SUM(K287:K291)</f>
        <v>1499731</v>
      </c>
      <c r="L292" s="171">
        <f>SUM(L287:L291)</f>
        <v>1</v>
      </c>
      <c r="M292" t="s">
        <v>181</v>
      </c>
      <c r="N292" s="197">
        <f>SUM(N287:N291)</f>
        <v>1384928</v>
      </c>
      <c r="O292" s="171">
        <f>SUM(O287:O291)</f>
        <v>1</v>
      </c>
      <c r="P292" t="s">
        <v>181</v>
      </c>
      <c r="Q292" s="197">
        <f>SUM(Q287:Q291)</f>
        <v>252000</v>
      </c>
      <c r="R292" s="171">
        <f>SUM(R287:R291)</f>
        <v>1</v>
      </c>
      <c r="S292" t="s">
        <v>181</v>
      </c>
      <c r="T292" s="197">
        <f>SUM(T287:T291)</f>
        <v>973000</v>
      </c>
      <c r="U292" s="171">
        <f>SUM(U287:U291)</f>
        <v>1</v>
      </c>
      <c r="V292" t="s">
        <v>181</v>
      </c>
      <c r="W292" s="197">
        <f>SUM(W287:W291)</f>
        <v>185200</v>
      </c>
      <c r="X292" s="171">
        <f>SUM(X287:X291)</f>
        <v>1</v>
      </c>
      <c r="Y292" t="s">
        <v>181</v>
      </c>
      <c r="Z292" s="197">
        <f>SUM(Z287:Z291)</f>
        <v>1355344</v>
      </c>
      <c r="AA292" s="171">
        <f>SUM(AA287:AA291)</f>
        <v>1</v>
      </c>
      <c r="AB292" t="s">
        <v>181</v>
      </c>
      <c r="AC292" s="197">
        <f>SUM(AC287:AC291)</f>
        <v>2640000</v>
      </c>
      <c r="AD292" s="171">
        <f>SUM(AD287:AD291)</f>
        <v>1</v>
      </c>
      <c r="AE292" t="s">
        <v>181</v>
      </c>
      <c r="AF292" s="197">
        <f>SUM(AF287:AF291)</f>
        <v>1790547</v>
      </c>
      <c r="AG292" s="171">
        <f>SUM(AG287:AG291)</f>
        <v>1</v>
      </c>
      <c r="AH292" t="s">
        <v>181</v>
      </c>
      <c r="AI292" s="197">
        <f>SUM(AI287:AI291)</f>
        <v>3155320</v>
      </c>
      <c r="AJ292" s="171">
        <f>SUM(AJ287:AJ291)</f>
        <v>1</v>
      </c>
      <c r="AK292" t="s">
        <v>181</v>
      </c>
      <c r="AL292" s="197">
        <f>SUM(AL287:AL291)</f>
        <v>5540000</v>
      </c>
      <c r="AM292" s="171" t="e">
        <f>SUM(AM287:AM291)</f>
        <v>#DIV/0!</v>
      </c>
      <c r="AN292" t="s">
        <v>181</v>
      </c>
      <c r="AO292" s="197">
        <f>SUM(AO287:AO291)</f>
        <v>0</v>
      </c>
      <c r="AP292" s="171" t="e">
        <f>SUM(AP287:AP291)</f>
        <v>#DIV/0!</v>
      </c>
      <c r="AQ292" t="s">
        <v>181</v>
      </c>
      <c r="AR292" s="197">
        <f>SUM(AR287:AR291)</f>
        <v>0</v>
      </c>
      <c r="AS292" s="171" t="e">
        <f>SUM(AS287:AS291)</f>
        <v>#DIV/0!</v>
      </c>
      <c r="AU292" s="145" t="s">
        <v>181</v>
      </c>
      <c r="AV292" s="233">
        <f>SUM(AV287:AV291)</f>
        <v>19589367</v>
      </c>
      <c r="AW292" s="231">
        <f>SUM(AW287:AW291)</f>
        <v>1</v>
      </c>
    </row>
    <row r="293" spans="7:49">
      <c r="H293" s="197"/>
      <c r="I293" s="171"/>
      <c r="K293" s="197"/>
      <c r="L293" s="171"/>
      <c r="N293" s="197"/>
      <c r="O293" s="171"/>
      <c r="Q293" s="197"/>
      <c r="R293" s="171"/>
      <c r="T293" s="197"/>
      <c r="U293" s="171"/>
      <c r="W293" s="197"/>
      <c r="X293" s="171"/>
      <c r="Z293" s="197"/>
      <c r="AA293" s="171"/>
      <c r="AC293" s="197"/>
      <c r="AD293" s="171"/>
      <c r="AF293" s="197"/>
      <c r="AG293" s="171"/>
      <c r="AI293" s="197"/>
      <c r="AJ293" s="171"/>
      <c r="AL293" s="197"/>
      <c r="AM293" s="171"/>
      <c r="AO293" s="197"/>
      <c r="AP293" s="171"/>
      <c r="AR293" s="197"/>
      <c r="AS293" s="171"/>
    </row>
    <row r="294" spans="7:49" ht="43.15">
      <c r="G294" s="234" t="s">
        <v>173</v>
      </c>
      <c r="H294" s="235" t="s">
        <v>182</v>
      </c>
      <c r="I294" s="236" t="s">
        <v>657</v>
      </c>
      <c r="J294" s="234" t="s">
        <v>173</v>
      </c>
      <c r="K294" s="235" t="s">
        <v>182</v>
      </c>
      <c r="L294" s="236" t="s">
        <v>657</v>
      </c>
      <c r="M294" s="234" t="s">
        <v>173</v>
      </c>
      <c r="N294" s="235" t="s">
        <v>182</v>
      </c>
      <c r="O294" s="236" t="s">
        <v>657</v>
      </c>
      <c r="P294" s="234" t="s">
        <v>173</v>
      </c>
      <c r="Q294" s="235" t="s">
        <v>182</v>
      </c>
      <c r="R294" s="236" t="s">
        <v>657</v>
      </c>
      <c r="S294" s="234" t="s">
        <v>173</v>
      </c>
      <c r="T294" s="235" t="s">
        <v>182</v>
      </c>
      <c r="U294" s="236" t="s">
        <v>657</v>
      </c>
      <c r="V294" s="234" t="s">
        <v>173</v>
      </c>
      <c r="W294" s="235" t="s">
        <v>182</v>
      </c>
      <c r="X294" s="236" t="s">
        <v>657</v>
      </c>
      <c r="Y294" s="234" t="s">
        <v>173</v>
      </c>
      <c r="Z294" s="235" t="s">
        <v>182</v>
      </c>
      <c r="AA294" s="236" t="s">
        <v>657</v>
      </c>
      <c r="AB294" s="234" t="s">
        <v>173</v>
      </c>
      <c r="AC294" s="235" t="s">
        <v>182</v>
      </c>
      <c r="AD294" s="236" t="s">
        <v>657</v>
      </c>
      <c r="AE294" s="235" t="s">
        <v>173</v>
      </c>
      <c r="AF294" s="235" t="s">
        <v>182</v>
      </c>
      <c r="AG294" s="236" t="s">
        <v>657</v>
      </c>
      <c r="AH294" s="235" t="s">
        <v>173</v>
      </c>
      <c r="AI294" s="235" t="s">
        <v>182</v>
      </c>
      <c r="AJ294" s="236" t="s">
        <v>657</v>
      </c>
      <c r="AK294" s="235" t="s">
        <v>173</v>
      </c>
      <c r="AL294" s="235" t="s">
        <v>182</v>
      </c>
      <c r="AM294" s="236" t="s">
        <v>657</v>
      </c>
      <c r="AN294" s="235" t="s">
        <v>173</v>
      </c>
      <c r="AO294" s="235" t="s">
        <v>182</v>
      </c>
      <c r="AP294" s="236" t="s">
        <v>657</v>
      </c>
      <c r="AQ294" s="235" t="s">
        <v>173</v>
      </c>
      <c r="AR294" s="235" t="s">
        <v>182</v>
      </c>
      <c r="AS294" s="236" t="s">
        <v>657</v>
      </c>
      <c r="AU294" s="145" t="s">
        <v>173</v>
      </c>
      <c r="AV294" s="228" t="s">
        <v>658</v>
      </c>
      <c r="AW294" s="228" t="s">
        <v>657</v>
      </c>
    </row>
    <row r="295" spans="7:49">
      <c r="G295" s="237" t="s">
        <v>177</v>
      </c>
      <c r="I295" s="256">
        <f>H295/$H$300</f>
        <v>0</v>
      </c>
      <c r="J295" s="237" t="s">
        <v>177</v>
      </c>
      <c r="L295" s="256">
        <f>K295/$K$300</f>
        <v>0</v>
      </c>
      <c r="M295" s="237" t="s">
        <v>177</v>
      </c>
      <c r="O295" s="256">
        <f>N295/$N$300</f>
        <v>0</v>
      </c>
      <c r="P295" s="237" t="s">
        <v>177</v>
      </c>
      <c r="R295" s="256">
        <f>Q295/$Q$300</f>
        <v>0</v>
      </c>
      <c r="S295" s="237" t="s">
        <v>177</v>
      </c>
      <c r="U295" s="256">
        <f>T295/$T$300</f>
        <v>0</v>
      </c>
      <c r="V295" s="237" t="s">
        <v>177</v>
      </c>
      <c r="X295" s="256">
        <f>W295/$W$300</f>
        <v>0</v>
      </c>
      <c r="Y295" s="237" t="s">
        <v>177</v>
      </c>
      <c r="AA295" s="256">
        <f>Z295/$Z$300</f>
        <v>0</v>
      </c>
      <c r="AB295" s="237" t="s">
        <v>177</v>
      </c>
      <c r="AD295" s="256">
        <f>AC295/$AC$300</f>
        <v>0</v>
      </c>
      <c r="AE295" s="237" t="s">
        <v>177</v>
      </c>
      <c r="AG295" s="256">
        <f>AF295/$AF$300</f>
        <v>0</v>
      </c>
      <c r="AH295" s="237" t="s">
        <v>177</v>
      </c>
      <c r="AJ295" s="256">
        <f>AI295/$AI$300</f>
        <v>0</v>
      </c>
      <c r="AK295" s="237" t="s">
        <v>177</v>
      </c>
      <c r="AM295" s="256" t="e">
        <f>AL295/$AR$300</f>
        <v>#DIV/0!</v>
      </c>
      <c r="AN295" s="237" t="s">
        <v>177</v>
      </c>
      <c r="AP295" s="256" t="e">
        <f>AO295/$AR$300</f>
        <v>#DIV/0!</v>
      </c>
      <c r="AQ295" s="237" t="s">
        <v>177</v>
      </c>
      <c r="AS295" s="256" t="e">
        <f>AR295/$AR$300</f>
        <v>#DIV/0!</v>
      </c>
      <c r="AU295" s="145" t="s">
        <v>177</v>
      </c>
      <c r="AV295" s="145">
        <f>SUM(H295,K295,N295,Q295,T295,W295,Z295,AC295,AF295,AI295,AR295,AL295,AO295)</f>
        <v>0</v>
      </c>
      <c r="AW295" s="231">
        <f>AV295/$AV$300</f>
        <v>0</v>
      </c>
    </row>
    <row r="296" spans="7:49">
      <c r="G296" s="237" t="s">
        <v>178</v>
      </c>
      <c r="I296" s="256">
        <f t="shared" ref="I296:I299" si="312">H296/$H$300</f>
        <v>0</v>
      </c>
      <c r="J296" s="237" t="s">
        <v>178</v>
      </c>
      <c r="K296">
        <v>1</v>
      </c>
      <c r="L296" s="256">
        <f t="shared" ref="L296:L299" si="313">K296/$K$300</f>
        <v>0.33333333333333331</v>
      </c>
      <c r="M296" s="237" t="s">
        <v>178</v>
      </c>
      <c r="N296">
        <v>1</v>
      </c>
      <c r="O296" s="256">
        <f t="shared" ref="O296:O299" si="314">N296/$N$300</f>
        <v>0.25</v>
      </c>
      <c r="P296" s="237" t="s">
        <v>178</v>
      </c>
      <c r="Q296">
        <v>1</v>
      </c>
      <c r="R296" s="256">
        <f t="shared" ref="R296:R299" si="315">Q296/$Q$300</f>
        <v>0.5</v>
      </c>
      <c r="S296" s="237" t="s">
        <v>178</v>
      </c>
      <c r="T296">
        <v>1</v>
      </c>
      <c r="U296" s="256">
        <f t="shared" ref="U296:U299" si="316">T296/$T$300</f>
        <v>0.16666666666666666</v>
      </c>
      <c r="V296" s="237" t="s">
        <v>178</v>
      </c>
      <c r="X296" s="256">
        <f t="shared" ref="X296:X299" si="317">W296/$W$300</f>
        <v>0</v>
      </c>
      <c r="Y296" s="237" t="s">
        <v>178</v>
      </c>
      <c r="AA296" s="256">
        <f t="shared" ref="AA296:AA299" si="318">Z296/$Z$300</f>
        <v>0</v>
      </c>
      <c r="AB296" s="237" t="s">
        <v>178</v>
      </c>
      <c r="AC296">
        <v>2</v>
      </c>
      <c r="AD296" s="256">
        <f t="shared" ref="AD296:AD299" si="319">AC296/$AC$300</f>
        <v>0.22222222222222221</v>
      </c>
      <c r="AE296" s="237" t="s">
        <v>178</v>
      </c>
      <c r="AG296" s="256">
        <f t="shared" ref="AG296:AG299" si="320">AF296/$AF$300</f>
        <v>0</v>
      </c>
      <c r="AH296" s="237" t="s">
        <v>178</v>
      </c>
      <c r="AJ296" s="256">
        <f t="shared" ref="AJ296:AJ299" si="321">AI296/$AI$300</f>
        <v>0</v>
      </c>
      <c r="AK296" s="237" t="s">
        <v>178</v>
      </c>
      <c r="AM296" s="256" t="e">
        <f t="shared" ref="AM296:AM299" si="322">AL296/$AR$300</f>
        <v>#DIV/0!</v>
      </c>
      <c r="AN296" s="237" t="s">
        <v>178</v>
      </c>
      <c r="AP296" s="256" t="e">
        <f t="shared" ref="AP296:AP299" si="323">AO296/$AR$300</f>
        <v>#DIV/0!</v>
      </c>
      <c r="AQ296" s="237" t="s">
        <v>178</v>
      </c>
      <c r="AS296" s="256" t="e">
        <f t="shared" ref="AS296:AS299" si="324">AR296/$AR$300</f>
        <v>#DIV/0!</v>
      </c>
      <c r="AU296" s="145" t="s">
        <v>178</v>
      </c>
      <c r="AV296" s="145">
        <f t="shared" ref="AV296:AV298" si="325">SUM(H296,K296,N296,Q296,T296,W296,Z296,AC296,AF296,AI296,AR296,AL296,AO296)</f>
        <v>6</v>
      </c>
      <c r="AW296" s="231">
        <f t="shared" ref="AW296:AW299" si="326">AV296/$AV$300</f>
        <v>0.14285714285714285</v>
      </c>
    </row>
    <row r="297" spans="7:49">
      <c r="G297" s="237" t="s">
        <v>179</v>
      </c>
      <c r="H297">
        <v>4</v>
      </c>
      <c r="I297" s="256">
        <f t="shared" si="312"/>
        <v>0.8</v>
      </c>
      <c r="J297" s="237" t="s">
        <v>179</v>
      </c>
      <c r="K297">
        <v>1</v>
      </c>
      <c r="L297" s="256">
        <f t="shared" si="313"/>
        <v>0.33333333333333331</v>
      </c>
      <c r="M297" s="237" t="s">
        <v>179</v>
      </c>
      <c r="N297">
        <v>3</v>
      </c>
      <c r="O297" s="256">
        <f t="shared" si="314"/>
        <v>0.75</v>
      </c>
      <c r="P297" s="237" t="s">
        <v>179</v>
      </c>
      <c r="Q297">
        <v>1</v>
      </c>
      <c r="R297" s="256">
        <f t="shared" si="315"/>
        <v>0.5</v>
      </c>
      <c r="S297" s="237" t="s">
        <v>179</v>
      </c>
      <c r="T297">
        <v>5</v>
      </c>
      <c r="U297" s="256">
        <f t="shared" si="316"/>
        <v>0.83333333333333337</v>
      </c>
      <c r="V297" s="237" t="s">
        <v>179</v>
      </c>
      <c r="W297">
        <v>1</v>
      </c>
      <c r="X297" s="256">
        <f t="shared" si="317"/>
        <v>1</v>
      </c>
      <c r="Y297" s="237" t="s">
        <v>179</v>
      </c>
      <c r="Z297">
        <v>2</v>
      </c>
      <c r="AA297" s="256">
        <f t="shared" si="318"/>
        <v>1</v>
      </c>
      <c r="AB297" s="237" t="s">
        <v>179</v>
      </c>
      <c r="AC297">
        <v>7</v>
      </c>
      <c r="AD297" s="256">
        <f t="shared" si="319"/>
        <v>0.77777777777777779</v>
      </c>
      <c r="AE297" s="237" t="s">
        <v>179</v>
      </c>
      <c r="AF297">
        <v>5</v>
      </c>
      <c r="AG297" s="256">
        <f t="shared" si="320"/>
        <v>1</v>
      </c>
      <c r="AH297" s="237" t="s">
        <v>179</v>
      </c>
      <c r="AI297">
        <v>3</v>
      </c>
      <c r="AJ297" s="256">
        <f t="shared" si="321"/>
        <v>1</v>
      </c>
      <c r="AK297" s="237" t="s">
        <v>179</v>
      </c>
      <c r="AL297">
        <v>2</v>
      </c>
      <c r="AM297" s="256" t="e">
        <f t="shared" si="322"/>
        <v>#DIV/0!</v>
      </c>
      <c r="AN297" s="237" t="s">
        <v>179</v>
      </c>
      <c r="AP297" s="256" t="e">
        <f t="shared" si="323"/>
        <v>#DIV/0!</v>
      </c>
      <c r="AQ297" s="237" t="s">
        <v>179</v>
      </c>
      <c r="AS297" s="256" t="e">
        <f t="shared" si="324"/>
        <v>#DIV/0!</v>
      </c>
      <c r="AU297" s="145" t="s">
        <v>179</v>
      </c>
      <c r="AV297" s="145">
        <f>SUM(H297,K297,N297,Q297,T297,W297,Z297,AC297,AF297,AI297,AR297,AL297,AO297)</f>
        <v>34</v>
      </c>
      <c r="AW297" s="231">
        <f t="shared" si="326"/>
        <v>0.80952380952380953</v>
      </c>
    </row>
    <row r="298" spans="7:49">
      <c r="G298" s="237" t="s">
        <v>180</v>
      </c>
      <c r="H298">
        <v>1</v>
      </c>
      <c r="I298" s="256">
        <f t="shared" si="312"/>
        <v>0.2</v>
      </c>
      <c r="J298" s="237" t="s">
        <v>180</v>
      </c>
      <c r="K298">
        <v>1</v>
      </c>
      <c r="L298" s="256">
        <f t="shared" si="313"/>
        <v>0.33333333333333331</v>
      </c>
      <c r="M298" s="237" t="s">
        <v>180</v>
      </c>
      <c r="O298" s="256">
        <f t="shared" si="314"/>
        <v>0</v>
      </c>
      <c r="P298" s="237" t="s">
        <v>180</v>
      </c>
      <c r="R298" s="256">
        <f t="shared" si="315"/>
        <v>0</v>
      </c>
      <c r="S298" s="237" t="s">
        <v>180</v>
      </c>
      <c r="U298" s="256">
        <f t="shared" si="316"/>
        <v>0</v>
      </c>
      <c r="V298" s="237" t="s">
        <v>180</v>
      </c>
      <c r="X298" s="256">
        <f t="shared" si="317"/>
        <v>0</v>
      </c>
      <c r="Y298" s="237" t="s">
        <v>180</v>
      </c>
      <c r="AA298" s="256">
        <f t="shared" si="318"/>
        <v>0</v>
      </c>
      <c r="AB298" s="237" t="s">
        <v>180</v>
      </c>
      <c r="AD298" s="256">
        <f t="shared" si="319"/>
        <v>0</v>
      </c>
      <c r="AE298" t="s">
        <v>180</v>
      </c>
      <c r="AG298" s="256">
        <f t="shared" si="320"/>
        <v>0</v>
      </c>
      <c r="AH298" t="s">
        <v>180</v>
      </c>
      <c r="AJ298" s="256">
        <f t="shared" si="321"/>
        <v>0</v>
      </c>
      <c r="AK298" t="s">
        <v>180</v>
      </c>
      <c r="AM298" s="256" t="e">
        <f t="shared" si="322"/>
        <v>#DIV/0!</v>
      </c>
      <c r="AN298" t="s">
        <v>180</v>
      </c>
      <c r="AP298" s="256" t="e">
        <f t="shared" si="323"/>
        <v>#DIV/0!</v>
      </c>
      <c r="AQ298" t="s">
        <v>180</v>
      </c>
      <c r="AS298" s="256" t="e">
        <f t="shared" si="324"/>
        <v>#DIV/0!</v>
      </c>
      <c r="AU298" s="145" t="s">
        <v>180</v>
      </c>
      <c r="AV298" s="145">
        <f t="shared" si="325"/>
        <v>2</v>
      </c>
      <c r="AW298" s="231">
        <f t="shared" si="326"/>
        <v>4.7619047619047616E-2</v>
      </c>
    </row>
    <row r="299" spans="7:49">
      <c r="G299" s="239" t="s">
        <v>41</v>
      </c>
      <c r="H299" s="240"/>
      <c r="I299" s="256">
        <f t="shared" si="312"/>
        <v>0</v>
      </c>
      <c r="J299" s="239" t="s">
        <v>41</v>
      </c>
      <c r="K299" s="240"/>
      <c r="L299" s="256">
        <f t="shared" si="313"/>
        <v>0</v>
      </c>
      <c r="M299" s="239" t="s">
        <v>41</v>
      </c>
      <c r="N299" s="240"/>
      <c r="O299" s="256">
        <f t="shared" si="314"/>
        <v>0</v>
      </c>
      <c r="P299" s="239" t="s">
        <v>41</v>
      </c>
      <c r="Q299" s="240"/>
      <c r="R299" s="256">
        <f t="shared" si="315"/>
        <v>0</v>
      </c>
      <c r="S299" s="239" t="s">
        <v>41</v>
      </c>
      <c r="T299" s="240"/>
      <c r="U299" s="256">
        <f t="shared" si="316"/>
        <v>0</v>
      </c>
      <c r="V299" s="239" t="s">
        <v>41</v>
      </c>
      <c r="W299" s="240"/>
      <c r="X299" s="256">
        <f t="shared" si="317"/>
        <v>0</v>
      </c>
      <c r="Y299" s="239" t="s">
        <v>41</v>
      </c>
      <c r="Z299" s="240"/>
      <c r="AA299" s="256">
        <f t="shared" si="318"/>
        <v>0</v>
      </c>
      <c r="AB299" s="239" t="s">
        <v>41</v>
      </c>
      <c r="AC299" s="240"/>
      <c r="AD299" s="256">
        <f t="shared" si="319"/>
        <v>0</v>
      </c>
      <c r="AE299" s="240" t="s">
        <v>41</v>
      </c>
      <c r="AF299" s="240"/>
      <c r="AG299" s="256">
        <f t="shared" si="320"/>
        <v>0</v>
      </c>
      <c r="AH299" s="240" t="s">
        <v>41</v>
      </c>
      <c r="AI299" s="240"/>
      <c r="AJ299" s="256">
        <f t="shared" si="321"/>
        <v>0</v>
      </c>
      <c r="AK299" s="240" t="s">
        <v>41</v>
      </c>
      <c r="AL299" s="240"/>
      <c r="AM299" s="256" t="e">
        <f t="shared" si="322"/>
        <v>#DIV/0!</v>
      </c>
      <c r="AN299" s="240" t="s">
        <v>41</v>
      </c>
      <c r="AO299" s="240"/>
      <c r="AP299" s="256" t="e">
        <f t="shared" si="323"/>
        <v>#DIV/0!</v>
      </c>
      <c r="AQ299" s="240" t="s">
        <v>41</v>
      </c>
      <c r="AR299" s="240"/>
      <c r="AS299" s="256" t="e">
        <f t="shared" si="324"/>
        <v>#DIV/0!</v>
      </c>
      <c r="AU299" s="145" t="s">
        <v>41</v>
      </c>
      <c r="AV299" s="145">
        <f>SUM(H299,K299,N299,Q299,T299,W299,Z299,AC299,AF299,AI299,AR299,AL299,AO299)</f>
        <v>0</v>
      </c>
      <c r="AW299" s="231">
        <f t="shared" si="326"/>
        <v>0</v>
      </c>
    </row>
    <row r="300" spans="7:49">
      <c r="G300" t="s">
        <v>181</v>
      </c>
      <c r="H300">
        <f>SUM(H295:H299)</f>
        <v>5</v>
      </c>
      <c r="I300" s="171">
        <f>SUM(I295:I299)</f>
        <v>1</v>
      </c>
      <c r="J300" t="s">
        <v>181</v>
      </c>
      <c r="K300">
        <f>SUM(K295:K299)</f>
        <v>3</v>
      </c>
      <c r="L300" s="171">
        <f>SUM(L295:L299)</f>
        <v>1</v>
      </c>
      <c r="M300" t="s">
        <v>181</v>
      </c>
      <c r="N300">
        <f>SUM(N295:N299)</f>
        <v>4</v>
      </c>
      <c r="O300" s="171">
        <f>SUM(O295:O299)</f>
        <v>1</v>
      </c>
      <c r="P300" t="s">
        <v>181</v>
      </c>
      <c r="Q300">
        <f>SUM(Q295:Q299)</f>
        <v>2</v>
      </c>
      <c r="R300" s="171">
        <f>SUM(R295:R299)</f>
        <v>1</v>
      </c>
      <c r="S300" t="s">
        <v>181</v>
      </c>
      <c r="T300">
        <f>SUM(T295:T299)</f>
        <v>6</v>
      </c>
      <c r="U300" s="171">
        <f>SUM(U295:U299)</f>
        <v>1</v>
      </c>
      <c r="V300" t="s">
        <v>181</v>
      </c>
      <c r="W300">
        <f>SUM(W295:W299)</f>
        <v>1</v>
      </c>
      <c r="X300" s="171">
        <f>SUM(X295:X299)</f>
        <v>1</v>
      </c>
      <c r="Y300" t="s">
        <v>181</v>
      </c>
      <c r="Z300">
        <f>SUM(Z295:Z299)</f>
        <v>2</v>
      </c>
      <c r="AA300" s="171">
        <f>SUM(AA295:AA299)</f>
        <v>1</v>
      </c>
      <c r="AB300" t="s">
        <v>181</v>
      </c>
      <c r="AC300">
        <f>SUM(AC295:AC299)</f>
        <v>9</v>
      </c>
      <c r="AD300" s="171">
        <f>SUM(AD295:AD299)</f>
        <v>1</v>
      </c>
      <c r="AE300" t="s">
        <v>181</v>
      </c>
      <c r="AF300">
        <f>SUM(AF295:AF299)</f>
        <v>5</v>
      </c>
      <c r="AG300" s="171">
        <f>SUM(AG295:AG299)</f>
        <v>1</v>
      </c>
      <c r="AH300" t="s">
        <v>181</v>
      </c>
      <c r="AI300">
        <f>SUM(AI295:AI299)</f>
        <v>3</v>
      </c>
      <c r="AJ300" s="171">
        <f>SUM(AJ295:AJ299)</f>
        <v>1</v>
      </c>
      <c r="AK300" t="s">
        <v>181</v>
      </c>
      <c r="AL300">
        <f>SUM(AL295:AL299)</f>
        <v>2</v>
      </c>
      <c r="AM300" s="171" t="e">
        <f>SUM(AM295:AM299)</f>
        <v>#DIV/0!</v>
      </c>
      <c r="AN300" t="s">
        <v>181</v>
      </c>
      <c r="AO300">
        <f>SUM(AO295:AO299)</f>
        <v>0</v>
      </c>
      <c r="AP300" s="171" t="e">
        <f>SUM(AP295:AP299)</f>
        <v>#DIV/0!</v>
      </c>
      <c r="AQ300" t="s">
        <v>181</v>
      </c>
      <c r="AR300">
        <f>SUM(AR295:AR299)</f>
        <v>0</v>
      </c>
      <c r="AS300" s="171" t="e">
        <f>SUM(AS295:AS299)</f>
        <v>#DIV/0!</v>
      </c>
      <c r="AU300" s="145" t="s">
        <v>181</v>
      </c>
      <c r="AV300" s="145">
        <f>SUM(AV295:AV299)</f>
        <v>42</v>
      </c>
      <c r="AW300" s="231">
        <f>SUM(AW295:AW299)</f>
        <v>1</v>
      </c>
    </row>
    <row r="301" spans="7:49">
      <c r="I301" s="171"/>
      <c r="L301" s="171"/>
      <c r="O301" s="171"/>
      <c r="R301" s="171"/>
      <c r="U301" s="171"/>
      <c r="X301" s="171"/>
      <c r="AA301" s="171"/>
      <c r="AD301" s="171"/>
      <c r="AG301" s="171"/>
      <c r="AJ301" s="171"/>
      <c r="AM301" s="171"/>
      <c r="AP301" s="171"/>
      <c r="AS301" s="171"/>
    </row>
    <row r="302" spans="7:49" ht="57.6">
      <c r="G302" s="234" t="s">
        <v>185</v>
      </c>
      <c r="H302" s="235" t="s">
        <v>186</v>
      </c>
      <c r="I302" s="235" t="s">
        <v>187</v>
      </c>
      <c r="J302" s="234" t="s">
        <v>185</v>
      </c>
      <c r="K302" s="235" t="s">
        <v>186</v>
      </c>
      <c r="L302" s="235" t="s">
        <v>187</v>
      </c>
      <c r="M302" s="234" t="s">
        <v>185</v>
      </c>
      <c r="N302" s="235" t="s">
        <v>186</v>
      </c>
      <c r="O302" s="235" t="s">
        <v>187</v>
      </c>
      <c r="P302" s="234" t="s">
        <v>185</v>
      </c>
      <c r="Q302" s="235" t="s">
        <v>186</v>
      </c>
      <c r="R302" s="235" t="s">
        <v>187</v>
      </c>
      <c r="S302" s="234" t="s">
        <v>185</v>
      </c>
      <c r="T302" s="235" t="s">
        <v>186</v>
      </c>
      <c r="U302" s="235" t="s">
        <v>187</v>
      </c>
      <c r="V302" s="234" t="s">
        <v>185</v>
      </c>
      <c r="W302" s="235" t="s">
        <v>186</v>
      </c>
      <c r="X302" s="235" t="s">
        <v>187</v>
      </c>
      <c r="Y302" s="234" t="s">
        <v>185</v>
      </c>
      <c r="Z302" s="235" t="s">
        <v>186</v>
      </c>
      <c r="AA302" s="235" t="s">
        <v>187</v>
      </c>
      <c r="AB302" s="234" t="s">
        <v>185</v>
      </c>
      <c r="AC302" s="235" t="s">
        <v>186</v>
      </c>
      <c r="AD302" s="235" t="s">
        <v>187</v>
      </c>
      <c r="AE302" s="234" t="s">
        <v>185</v>
      </c>
      <c r="AF302" s="235" t="s">
        <v>186</v>
      </c>
      <c r="AG302" s="235" t="s">
        <v>187</v>
      </c>
      <c r="AH302" s="234" t="s">
        <v>185</v>
      </c>
      <c r="AI302" s="235" t="s">
        <v>186</v>
      </c>
      <c r="AJ302" s="235" t="s">
        <v>187</v>
      </c>
      <c r="AK302" s="234" t="s">
        <v>185</v>
      </c>
      <c r="AL302" s="235" t="s">
        <v>186</v>
      </c>
      <c r="AM302" s="236" t="s">
        <v>187</v>
      </c>
      <c r="AN302" s="234" t="s">
        <v>185</v>
      </c>
      <c r="AO302" s="235" t="s">
        <v>186</v>
      </c>
      <c r="AP302" s="236" t="s">
        <v>187</v>
      </c>
      <c r="AQ302" s="234" t="s">
        <v>185</v>
      </c>
      <c r="AR302" s="235" t="s">
        <v>186</v>
      </c>
      <c r="AS302" s="236" t="s">
        <v>187</v>
      </c>
      <c r="AU302" s="234" t="s">
        <v>185</v>
      </c>
      <c r="AV302" s="235" t="s">
        <v>659</v>
      </c>
      <c r="AW302" s="236" t="s">
        <v>660</v>
      </c>
    </row>
    <row r="303" spans="7:49">
      <c r="G303" s="239">
        <v>2.67</v>
      </c>
      <c r="H303" s="286">
        <f>G230+G234+(G197*0.66666)+G100</f>
        <v>448342.60797999997</v>
      </c>
      <c r="I303" s="285">
        <f>H303/H292</f>
        <v>0.55126553765721498</v>
      </c>
      <c r="J303" s="287">
        <f>1+0.5+0.66666</f>
        <v>2.1666600000000003</v>
      </c>
      <c r="K303" s="286">
        <f>(J212/2)+((J199+J200+J201)*0.66666)+J130</f>
        <v>1024279.05646</v>
      </c>
      <c r="L303" s="285">
        <f>K303/K292</f>
        <v>0.68297518452309114</v>
      </c>
      <c r="M303" s="287">
        <v>0.66666000000000003</v>
      </c>
      <c r="N303" s="241">
        <f>(M201*0.66666)</f>
        <v>69999.3</v>
      </c>
      <c r="O303" s="285">
        <f>N303/N292</f>
        <v>5.0543638369648099E-2</v>
      </c>
      <c r="P303" s="239">
        <v>2</v>
      </c>
      <c r="Q303" s="241">
        <f>P130+P100</f>
        <v>252000</v>
      </c>
      <c r="R303" s="285">
        <f>Q303/Q292</f>
        <v>1</v>
      </c>
      <c r="S303" s="239">
        <v>3</v>
      </c>
      <c r="T303" s="241">
        <f>S119+S75+S53</f>
        <v>305000</v>
      </c>
      <c r="U303" s="285">
        <f>T303/T292</f>
        <v>0.31346351490236385</v>
      </c>
      <c r="V303" s="239">
        <v>0</v>
      </c>
      <c r="W303" s="240"/>
      <c r="X303" s="285">
        <f>W303/W292</f>
        <v>0</v>
      </c>
      <c r="Y303" s="239">
        <v>1</v>
      </c>
      <c r="Z303" s="241">
        <f>Y122</f>
        <v>611000</v>
      </c>
      <c r="AA303" s="285">
        <f>Z303/Z292</f>
        <v>0.45080806053666078</v>
      </c>
      <c r="AB303" s="239">
        <v>3</v>
      </c>
      <c r="AC303" s="241">
        <f>AB133+AB76</f>
        <v>2200000</v>
      </c>
      <c r="AD303" s="285">
        <f>AC303/AC292</f>
        <v>0.83333333333333337</v>
      </c>
      <c r="AE303" s="239">
        <v>1</v>
      </c>
      <c r="AF303" s="241">
        <f>AF76</f>
        <v>0</v>
      </c>
      <c r="AG303" s="285">
        <f>AF303/AF292</f>
        <v>0</v>
      </c>
      <c r="AH303" s="239">
        <v>1</v>
      </c>
      <c r="AI303" s="241">
        <f>AH78</f>
        <v>596120</v>
      </c>
      <c r="AJ303" s="285">
        <f>AI303/AI292</f>
        <v>0.18892537048540242</v>
      </c>
      <c r="AK303" s="239">
        <v>0</v>
      </c>
      <c r="AL303" s="240"/>
      <c r="AM303" s="285">
        <f>AL303/AL292</f>
        <v>0</v>
      </c>
      <c r="AN303" s="239">
        <v>0</v>
      </c>
      <c r="AO303" s="240"/>
      <c r="AP303" s="285" t="e">
        <f>AO303/AO292</f>
        <v>#DIV/0!</v>
      </c>
      <c r="AQ303" s="239">
        <v>0</v>
      </c>
      <c r="AR303" s="240"/>
      <c r="AS303" s="285" t="e">
        <f>AR303/AR292</f>
        <v>#DIV/0!</v>
      </c>
      <c r="AU303" s="287">
        <f>SUM(AQ303,AH303,AE303,AB303,Y303,V303,S303,P303,M303,J303,G303,AK303,AN303)</f>
        <v>16.503320000000002</v>
      </c>
      <c r="AV303" s="241">
        <f>SUM(AR303,AI303,AF303,AC303,Z303,W303,T303,Q303,N303,K303,H303,AL303,AO303)</f>
        <v>5506740.9644399993</v>
      </c>
      <c r="AW303" s="256">
        <f>AV303/AV292</f>
        <v>0.28110867311026433</v>
      </c>
    </row>
    <row r="304" spans="7:49" ht="43.15">
      <c r="AW304" s="228" t="s">
        <v>257</v>
      </c>
    </row>
    <row r="305" spans="49:49">
      <c r="AW305" s="231">
        <v>0.21</v>
      </c>
    </row>
  </sheetData>
  <sheetProtection selectLockedCells="1"/>
  <mergeCells count="1146">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8e71a5882a34c5c10e31c6839f7e789d">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2d0e92db75bf7a485dc842b25c274092"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A09C18-4BC3-4097-8DF6-36C74601AF3D}"/>
</file>

<file path=customXml/itemProps2.xml><?xml version="1.0" encoding="utf-8"?>
<ds:datastoreItem xmlns:ds="http://schemas.openxmlformats.org/officeDocument/2006/customXml" ds:itemID="{379D1019-9BBE-4AC6-9E07-3FDD929B6BCF}"/>
</file>

<file path=customXml/itemProps3.xml><?xml version="1.0" encoding="utf-8"?>
<ds:datastoreItem xmlns:ds="http://schemas.openxmlformats.org/officeDocument/2006/customXml" ds:itemID="{DDAB70F4-78B3-4E07-904B-4FDB694C63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2026-05-01T13:04:05Z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